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21680" windowHeight="9980" tabRatio="703" activeTab="0"/>
  </bookViews>
  <sheets>
    <sheet name="Format1" sheetId="1" r:id="rId1"/>
  </sheets>
  <definedNames>
    <definedName name="_ZA107" localSheetId="0">'Format1'!$B$14+"aD10"+16929+1800+400</definedName>
    <definedName name="_ZA108" localSheetId="0">'Format1'!$B$11+"lD5"+16929+575+0.05+1+25+55+"+"+25+9+9+3+0+0+8</definedName>
    <definedName name="_ZF104" localSheetId="0">'Format1'!#REF!+"NPV"+"1000 VND"+1+1+409+0+0+0+0+4+3+"-"+"+"+2.6+50+2+4+95+325110.785486369+5</definedName>
    <definedName name="ZA0" localSheetId="0">"Crystal Ball Data : Ver. 5.0"</definedName>
    <definedName name="ZA0A" localSheetId="0">2+108</definedName>
    <definedName name="ZA0C" localSheetId="0">0+0</definedName>
    <definedName name="ZA0D" localSheetId="0">0+0</definedName>
    <definedName name="ZA0F" localSheetId="0">1+104</definedName>
    <definedName name="ZA0T" localSheetId="0">10886644+0</definedName>
    <definedName name="ZA108AA" localSheetId="0">0+0.025+25+0+0.025+35+0+0.25+"?"+0+0.05+35+0+0.05+45+0+0.5+"?"+0+0.025+45+0+0.025+55+0+0.25+"?"+9</definedName>
  </definedNames>
  <calcPr fullCalcOnLoad="1"/>
</workbook>
</file>

<file path=xl/sharedStrings.xml><?xml version="1.0" encoding="utf-8"?>
<sst xmlns="http://schemas.openxmlformats.org/spreadsheetml/2006/main" count="201" uniqueCount="113">
  <si>
    <t>Doanh thu</t>
  </si>
  <si>
    <t>EBIT</t>
  </si>
  <si>
    <t>xe</t>
  </si>
  <si>
    <t>Số ngày hoạt động/năm</t>
  </si>
  <si>
    <t>Vốn lưu động</t>
  </si>
  <si>
    <t>Khoản phải thu</t>
  </si>
  <si>
    <t>Khoản phải trả</t>
  </si>
  <si>
    <t>Huy động vốn</t>
  </si>
  <si>
    <t>Kỳ thanh toán</t>
  </si>
  <si>
    <t>năm</t>
  </si>
  <si>
    <t>Tỉ lệ lạm phát trong nước</t>
  </si>
  <si>
    <t>Tỉ lệ lạm phát nước ngoài</t>
  </si>
  <si>
    <t>Chi phí hoạt động</t>
  </si>
  <si>
    <t>Chi phí bảo trì</t>
  </si>
  <si>
    <t>Bảo hiểm</t>
  </si>
  <si>
    <t>Lương tài xế</t>
  </si>
  <si>
    <t>Chỉ số lạm phát tương đối</t>
  </si>
  <si>
    <t>Lịch đầu tư</t>
  </si>
  <si>
    <t>Lịch vay và trả nợ</t>
  </si>
  <si>
    <t>Nợ đầu kỳ</t>
  </si>
  <si>
    <t>Nợ cuối kỳ</t>
  </si>
  <si>
    <t>Lịch khấu hao</t>
  </si>
  <si>
    <t>Khấu hao tích lũy</t>
  </si>
  <si>
    <t>Chi phí khấu hao</t>
  </si>
  <si>
    <t>Chi phí lãi vay</t>
  </si>
  <si>
    <t>Lợi nhuận trước thuế</t>
  </si>
  <si>
    <t>Tổng dòng tiền ra</t>
  </si>
  <si>
    <t>Thuế thu nhập doanh nghiệp</t>
  </si>
  <si>
    <t>IRR thực</t>
  </si>
  <si>
    <t>Nhiên liệu</t>
  </si>
  <si>
    <t>đô-la</t>
  </si>
  <si>
    <t>ngàn đồng</t>
  </si>
  <si>
    <t>Chi phí quản lý, năm</t>
  </si>
  <si>
    <t xml:space="preserve">    Tiền lãi</t>
  </si>
  <si>
    <t xml:space="preserve">    Vốn gốc</t>
  </si>
  <si>
    <t>Tồn quỹ tiền mặt</t>
  </si>
  <si>
    <t>Giá trị sổ sách đầu năm</t>
  </si>
  <si>
    <t>Mức khấu hao năm</t>
  </si>
  <si>
    <t>Giá trị sổ sách cuối năm</t>
  </si>
  <si>
    <t>Báo cáo thu nhập</t>
  </si>
  <si>
    <t>Tổng dòng tiền vào</t>
  </si>
  <si>
    <t>Chi phí đầu tư</t>
  </si>
  <si>
    <t>Ngân lưu ròng (trước thuế)</t>
  </si>
  <si>
    <t>Ngân lưu ròng (sau thuế)</t>
  </si>
  <si>
    <t>IRR danh nghĩa</t>
  </si>
  <si>
    <t>doanh thu</t>
  </si>
  <si>
    <t>Số lượng nhập khẩu</t>
  </si>
  <si>
    <t>Thuế nhập khẩu</t>
  </si>
  <si>
    <t>Tỉ giá hối đoái</t>
  </si>
  <si>
    <t>Đầu tư ban đầu</t>
  </si>
  <si>
    <t>Doanh thu (triệu đồng)</t>
  </si>
  <si>
    <t>(triệu đồng)</t>
  </si>
  <si>
    <t>Chỉ số lạm phát trong nước</t>
  </si>
  <si>
    <t>Chỉ số lạm phát nước ngoài</t>
  </si>
  <si>
    <t>Thay đổi khoản phải thu</t>
  </si>
  <si>
    <t>Chi phí quản lý</t>
  </si>
  <si>
    <t>Đơn giá (ngàn đồng)</t>
  </si>
  <si>
    <t>DÒNG THU</t>
  </si>
  <si>
    <t>DÒNG CHI</t>
  </si>
  <si>
    <t>Giá nhập khẩu - CIF/xe</t>
  </si>
  <si>
    <t>Vay dài hạn</t>
  </si>
  <si>
    <t>Trả nợ đều, trong đó:</t>
  </si>
  <si>
    <t>Tổng cộng chi phí</t>
  </si>
  <si>
    <t>Chi trả nợ vay</t>
  </si>
  <si>
    <t>triệu đồng</t>
  </si>
  <si>
    <t>Tỉ giá hối đoái danh nghĩa</t>
  </si>
  <si>
    <t>Thay đổi trong khoản phải thu</t>
  </si>
  <si>
    <t>Thanh lý tài sản cố định</t>
  </si>
  <si>
    <t>Hàng tồn kho</t>
  </si>
  <si>
    <t>Số km bình quân ngày</t>
  </si>
  <si>
    <t>Đơn giá/km</t>
  </si>
  <si>
    <t>Báo cáo ngân lưu danh nghĩa theo quan điểm chủ đầu tư</t>
  </si>
  <si>
    <t>Báo cáo ngân lưu thực theo quan điểm chủ đầu tư</t>
  </si>
  <si>
    <t>Thu đi vay</t>
  </si>
  <si>
    <t>Số km hoạt động hằng năm</t>
  </si>
  <si>
    <t>ngày</t>
  </si>
  <si>
    <t>km</t>
  </si>
  <si>
    <t>vốn đầu tư</t>
  </si>
  <si>
    <t>Chi đầu tư</t>
  </si>
  <si>
    <t>Thời gian khấu hao (đều)</t>
  </si>
  <si>
    <t>Tỉ lệ giảm, từ năm 2 trở đi</t>
  </si>
  <si>
    <t xml:space="preserve">Vòng đời dự án </t>
  </si>
  <si>
    <t>Tiền mặt</t>
  </si>
  <si>
    <t>Thay đổi trong vốn lưu động</t>
  </si>
  <si>
    <t>Thay đổi trong tồn quỹ tiền mặt</t>
  </si>
  <si>
    <t>Thay đổi trong hàng tồn kho</t>
  </si>
  <si>
    <t>Trong đó, thời gian thanh lý</t>
  </si>
  <si>
    <t>Thay đổi tồn quỹ tiền mặt</t>
  </si>
  <si>
    <t>Thay đổi tồn kho</t>
  </si>
  <si>
    <t>Chi phí thanh lý</t>
  </si>
  <si>
    <t>giá trị thanh lý TSCĐ</t>
  </si>
  <si>
    <t>Thay đổi nợ phải trả</t>
  </si>
  <si>
    <t>Thay đổi hàng tồn kho</t>
  </si>
  <si>
    <t>Báo cáo ngân lưu danh nghĩa theo quan điểm tổng đầu tư (TIP)</t>
  </si>
  <si>
    <t>Báo cáo ngân lưu thực theo quan điểm tổng đầu tư (TIP)</t>
  </si>
  <si>
    <t>WACC danh nghĩa</t>
  </si>
  <si>
    <t>WACC thực</t>
  </si>
  <si>
    <t>chi phí nhiên liệu+bảo trì</t>
  </si>
  <si>
    <t>Tính toán suất chiết khấu:</t>
  </si>
  <si>
    <t>Chi phí thanh lý tài sản cố định</t>
  </si>
  <si>
    <t>Bảng thông số</t>
  </si>
  <si>
    <t>Vĩ mô</t>
  </si>
  <si>
    <t>Thuế TNDN và suất chiết khấu</t>
  </si>
  <si>
    <t>Chỉ số giá và tỷ giá</t>
  </si>
  <si>
    <t>Thay đổi trong khoản phải trả</t>
  </si>
  <si>
    <t>Lợi nhuận ròng</t>
  </si>
  <si>
    <t>NPV</t>
  </si>
  <si>
    <r>
      <t>r</t>
    </r>
    <r>
      <rPr>
        <i/>
        <vertAlign val="subscript"/>
        <sz val="12"/>
        <rFont val="Times New Roman"/>
        <family val="1"/>
      </rPr>
      <t>E</t>
    </r>
    <r>
      <rPr>
        <i/>
        <sz val="12"/>
        <rFont val="Times New Roman"/>
        <family val="1"/>
      </rPr>
      <t xml:space="preserve"> danh nghĩa</t>
    </r>
  </si>
  <si>
    <r>
      <t>r</t>
    </r>
    <r>
      <rPr>
        <vertAlign val="subscript"/>
        <sz val="12"/>
        <rFont val="Times New Roman"/>
        <family val="1"/>
      </rPr>
      <t>E</t>
    </r>
    <r>
      <rPr>
        <sz val="12"/>
        <rFont val="Times New Roman"/>
        <family val="1"/>
      </rPr>
      <t xml:space="preserve"> thực</t>
    </r>
  </si>
  <si>
    <t>Lãi suất, thực</t>
  </si>
  <si>
    <t>Lãi suất, danh nghĩa</t>
  </si>
  <si>
    <t>Suất sinh lời danh nghĩa của vốn chủ sở hữu</t>
  </si>
  <si>
    <t xml:space="preserve">Nợ phát sinh </t>
  </si>
</sst>
</file>

<file path=xl/styles.xml><?xml version="1.0" encoding="utf-8"?>
<styleSheet xmlns="http://schemas.openxmlformats.org/spreadsheetml/2006/main">
  <numFmts count="7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0000_);_(&quot;$&quot;* \(#,##0.00000\);_(&quot;$&quot;* &quot;-&quot;??_);_(@_)"/>
    <numFmt numFmtId="183" formatCode="0.0%"/>
    <numFmt numFmtId="184" formatCode="0.00000%"/>
    <numFmt numFmtId="185" formatCode="0.000000%"/>
    <numFmt numFmtId="186" formatCode="0.0000%"/>
    <numFmt numFmtId="187" formatCode="0.000%"/>
    <numFmt numFmtId="188" formatCode="0.00000"/>
    <numFmt numFmtId="189" formatCode="0.0000"/>
    <numFmt numFmtId="190" formatCode="0.000"/>
    <numFmt numFmtId="191" formatCode="0.0"/>
    <numFmt numFmtId="192" formatCode="0.0000000"/>
    <numFmt numFmtId="193" formatCode="0.000000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  <numFmt numFmtId="196" formatCode="&quot;$&quot;#,##0.0_);[Red]\(&quot;$&quot;#,##0.0\)"/>
    <numFmt numFmtId="197" formatCode="0.0000000%"/>
    <numFmt numFmtId="198" formatCode="0.000000000000000%"/>
    <numFmt numFmtId="199" formatCode="0.00000000000000%"/>
    <numFmt numFmtId="200" formatCode="0.0000000000000%"/>
    <numFmt numFmtId="201" formatCode="0.000000000000%"/>
    <numFmt numFmtId="202" formatCode="0.00000000000%"/>
    <numFmt numFmtId="203" formatCode="0.0000000000%"/>
    <numFmt numFmtId="204" formatCode="0.000000000%"/>
    <numFmt numFmtId="205" formatCode="0.00000000%"/>
    <numFmt numFmtId="206" formatCode="_(* #,##0.0_);_(* \(#,##0.0\);_(* &quot;-&quot;??_);_(@_)"/>
    <numFmt numFmtId="207" formatCode="_(* #,##0_);_(* \(#,##0\);_(* &quot;-&quot;??_);_(@_)"/>
    <numFmt numFmtId="208" formatCode="_(* #,##0.0_);_(* \(#,##0.0\);_(* &quot;-&quot;?_);_(@_)"/>
    <numFmt numFmtId="209" formatCode="_(* #,##0.000_);_(* \(#,##0.000\);_(* &quot;-&quot;??_);_(@_)"/>
    <numFmt numFmtId="210" formatCode="00000"/>
    <numFmt numFmtId="211" formatCode="&quot;$&quot;#,##0.00"/>
    <numFmt numFmtId="212" formatCode="0E+00"/>
    <numFmt numFmtId="213" formatCode="0.00000000"/>
    <numFmt numFmtId="214" formatCode="_(* #,##0.000_);_(* \(#,##0.000\);_(* &quot;-&quot;???_);_(@_)"/>
    <numFmt numFmtId="215" formatCode="[$-409]dddd\,\ mmmm\ dd\,\ yyyy"/>
    <numFmt numFmtId="216" formatCode="mm/dd/yyyy"/>
    <numFmt numFmtId="217" formatCode="0.0000000000"/>
    <numFmt numFmtId="218" formatCode="0.000000000"/>
    <numFmt numFmtId="219" formatCode="mmm"/>
    <numFmt numFmtId="220" formatCode="mm/yy"/>
    <numFmt numFmtId="221" formatCode="\Tmm\-yy"/>
    <numFmt numFmtId="222" formatCode="\Tmm\-yyyy"/>
    <numFmt numFmtId="223" formatCode="[$-409]mmm\-yy;@"/>
    <numFmt numFmtId="224" formatCode="[$-409]mmmmm\-yy;@"/>
    <numFmt numFmtId="225" formatCode="[$-409]mm\-yy;@"/>
    <numFmt numFmtId="226" formatCode="[$-409]mm/yy;@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0000000000"/>
    <numFmt numFmtId="232" formatCode="mm/yyyy"/>
    <numFmt numFmtId="233" formatCode="??/??"/>
    <numFmt numFmtId="234" formatCode="#,##0.0"/>
  </numFmts>
  <fonts count="45">
    <font>
      <sz val="10"/>
      <name val="Arial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u val="single"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207" fontId="3" fillId="0" borderId="0" xfId="42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207" fontId="3" fillId="0" borderId="0" xfId="42" applyNumberFormat="1" applyFont="1" applyBorder="1" applyAlignment="1">
      <alignment/>
    </xf>
    <xf numFmtId="0" fontId="3" fillId="0" borderId="15" xfId="0" applyFont="1" applyBorder="1" applyAlignment="1">
      <alignment/>
    </xf>
    <xf numFmtId="207" fontId="3" fillId="0" borderId="15" xfId="42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07" fontId="2" fillId="0" borderId="15" xfId="42" applyNumberFormat="1" applyFont="1" applyBorder="1" applyAlignment="1">
      <alignment/>
    </xf>
    <xf numFmtId="207" fontId="3" fillId="0" borderId="15" xfId="42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2" fontId="3" fillId="0" borderId="0" xfId="0" applyNumberFormat="1" applyFont="1" applyBorder="1" applyAlignment="1">
      <alignment/>
    </xf>
    <xf numFmtId="207" fontId="2" fillId="0" borderId="14" xfId="42" applyNumberFormat="1" applyFont="1" applyBorder="1" applyAlignment="1">
      <alignment/>
    </xf>
    <xf numFmtId="0" fontId="5" fillId="0" borderId="0" xfId="0" applyFont="1" applyBorder="1" applyAlignment="1">
      <alignment/>
    </xf>
    <xf numFmtId="207" fontId="3" fillId="0" borderId="0" xfId="0" applyNumberFormat="1" applyFont="1" applyAlignment="1">
      <alignment/>
    </xf>
    <xf numFmtId="0" fontId="8" fillId="0" borderId="0" xfId="0" applyFont="1" applyAlignment="1">
      <alignment/>
    </xf>
    <xf numFmtId="207" fontId="3" fillId="0" borderId="0" xfId="42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9" fontId="3" fillId="0" borderId="0" xfId="0" applyNumberFormat="1" applyFont="1" applyFill="1" applyAlignment="1">
      <alignment/>
    </xf>
    <xf numFmtId="9" fontId="3" fillId="0" borderId="0" xfId="59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183" fontId="3" fillId="0" borderId="0" xfId="0" applyNumberFormat="1" applyFont="1" applyAlignment="1">
      <alignment/>
    </xf>
    <xf numFmtId="183" fontId="3" fillId="0" borderId="0" xfId="59" applyNumberFormat="1" applyFont="1" applyAlignment="1">
      <alignment/>
    </xf>
    <xf numFmtId="0" fontId="2" fillId="0" borderId="0" xfId="0" applyFont="1" applyAlignment="1">
      <alignment horizontal="left"/>
    </xf>
    <xf numFmtId="190" fontId="3" fillId="0" borderId="0" xfId="0" applyNumberFormat="1" applyFont="1" applyAlignment="1">
      <alignment/>
    </xf>
    <xf numFmtId="9" fontId="3" fillId="0" borderId="0" xfId="0" applyNumberFormat="1" applyFont="1" applyBorder="1" applyAlignment="1">
      <alignment horizontal="right"/>
    </xf>
    <xf numFmtId="183" fontId="4" fillId="0" borderId="0" xfId="0" applyNumberFormat="1" applyFont="1" applyFill="1" applyAlignment="1">
      <alignment/>
    </xf>
    <xf numFmtId="207" fontId="2" fillId="0" borderId="0" xfId="42" applyNumberFormat="1" applyFont="1" applyFill="1" applyAlignment="1">
      <alignment/>
    </xf>
    <xf numFmtId="9" fontId="2" fillId="0" borderId="0" xfId="59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 wrapText="1"/>
    </xf>
    <xf numFmtId="9" fontId="3" fillId="0" borderId="0" xfId="0" applyNumberFormat="1" applyFont="1" applyAlignment="1">
      <alignment vertical="center"/>
    </xf>
    <xf numFmtId="207" fontId="3" fillId="32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904875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04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="150" zoomScaleNormal="150" workbookViewId="0" topLeftCell="A48">
      <selection activeCell="C66" sqref="C66"/>
    </sheetView>
  </sheetViews>
  <sheetFormatPr defaultColWidth="9.140625" defaultRowHeight="12.75"/>
  <cols>
    <col min="1" max="1" width="30.28125" style="2" customWidth="1"/>
    <col min="2" max="8" width="9.7109375" style="2" customWidth="1"/>
    <col min="9" max="16384" width="9.140625" style="2" customWidth="1"/>
  </cols>
  <sheetData>
    <row r="1" ht="15">
      <c r="A1" s="37" t="s">
        <v>100</v>
      </c>
    </row>
    <row r="2" ht="15">
      <c r="A2" s="37" t="s">
        <v>101</v>
      </c>
    </row>
    <row r="3" spans="1:2" ht="15">
      <c r="A3" s="2" t="s">
        <v>10</v>
      </c>
      <c r="B3" s="39">
        <v>0.1</v>
      </c>
    </row>
    <row r="4" spans="1:3" ht="15">
      <c r="A4" s="2" t="s">
        <v>11</v>
      </c>
      <c r="B4" s="5">
        <v>0.03</v>
      </c>
      <c r="C4" s="7"/>
    </row>
    <row r="5" spans="1:3" ht="15">
      <c r="A5" s="2" t="s">
        <v>48</v>
      </c>
      <c r="B5" s="31">
        <v>20</v>
      </c>
      <c r="C5" s="2" t="s">
        <v>31</v>
      </c>
    </row>
    <row r="6" spans="1:3" ht="15">
      <c r="A6" s="1" t="s">
        <v>49</v>
      </c>
      <c r="B6" s="3"/>
      <c r="C6" s="4"/>
    </row>
    <row r="7" spans="1:3" ht="15">
      <c r="A7" s="2" t="s">
        <v>59</v>
      </c>
      <c r="B7" s="8">
        <v>10000</v>
      </c>
      <c r="C7" s="2" t="s">
        <v>30</v>
      </c>
    </row>
    <row r="8" spans="1:3" ht="15">
      <c r="A8" s="2" t="s">
        <v>47</v>
      </c>
      <c r="B8" s="32">
        <v>1</v>
      </c>
      <c r="C8" s="4"/>
    </row>
    <row r="9" spans="1:3" ht="15">
      <c r="A9" s="2" t="s">
        <v>46</v>
      </c>
      <c r="B9" s="3">
        <v>20</v>
      </c>
      <c r="C9" s="2" t="s">
        <v>2</v>
      </c>
    </row>
    <row r="10" ht="15">
      <c r="A10" s="1" t="s">
        <v>0</v>
      </c>
    </row>
    <row r="11" spans="1:3" ht="15">
      <c r="A11" s="2" t="s">
        <v>69</v>
      </c>
      <c r="B11" s="3">
        <v>100</v>
      </c>
      <c r="C11" s="2" t="s">
        <v>76</v>
      </c>
    </row>
    <row r="12" spans="1:3" ht="15">
      <c r="A12" s="2" t="s">
        <v>3</v>
      </c>
      <c r="B12" s="2">
        <v>300</v>
      </c>
      <c r="C12" s="2" t="s">
        <v>75</v>
      </c>
    </row>
    <row r="13" spans="1:2" ht="15">
      <c r="A13" s="2" t="s">
        <v>80</v>
      </c>
      <c r="B13" s="5">
        <v>0.05</v>
      </c>
    </row>
    <row r="14" spans="1:3" ht="15">
      <c r="A14" s="2" t="s">
        <v>70</v>
      </c>
      <c r="B14" s="3">
        <v>15</v>
      </c>
      <c r="C14" s="2" t="s">
        <v>31</v>
      </c>
    </row>
    <row r="15" ht="15">
      <c r="A15" s="1" t="s">
        <v>12</v>
      </c>
    </row>
    <row r="16" spans="1:3" ht="15">
      <c r="A16" s="2" t="s">
        <v>13</v>
      </c>
      <c r="B16" s="5">
        <v>0.02</v>
      </c>
      <c r="C16" s="2" t="s">
        <v>45</v>
      </c>
    </row>
    <row r="17" spans="1:3" ht="15">
      <c r="A17" s="2" t="s">
        <v>29</v>
      </c>
      <c r="B17" s="5">
        <v>0.15</v>
      </c>
      <c r="C17" s="2" t="s">
        <v>45</v>
      </c>
    </row>
    <row r="18" spans="1:3" ht="15">
      <c r="A18" s="2" t="s">
        <v>14</v>
      </c>
      <c r="B18" s="5">
        <v>0.02</v>
      </c>
      <c r="C18" s="2" t="s">
        <v>45</v>
      </c>
    </row>
    <row r="19" spans="1:3" ht="15">
      <c r="A19" s="2" t="s">
        <v>15</v>
      </c>
      <c r="B19" s="5">
        <v>0.2</v>
      </c>
      <c r="C19" s="2" t="s">
        <v>45</v>
      </c>
    </row>
    <row r="20" spans="1:3" ht="15">
      <c r="A20" s="2" t="s">
        <v>32</v>
      </c>
      <c r="B20" s="8">
        <v>500</v>
      </c>
      <c r="C20" s="2" t="s">
        <v>64</v>
      </c>
    </row>
    <row r="21" ht="15">
      <c r="A21" s="1" t="s">
        <v>7</v>
      </c>
    </row>
    <row r="22" spans="1:3" ht="15">
      <c r="A22" s="2" t="s">
        <v>60</v>
      </c>
      <c r="B22" s="33">
        <v>0.5</v>
      </c>
      <c r="C22" s="2" t="s">
        <v>77</v>
      </c>
    </row>
    <row r="23" spans="1:2" ht="15">
      <c r="A23" s="2" t="s">
        <v>109</v>
      </c>
      <c r="B23" s="33">
        <f>(1+15%)/(1+10%)-1</f>
        <v>0.04545454545454519</v>
      </c>
    </row>
    <row r="24" spans="1:2" ht="15">
      <c r="A24" s="2" t="s">
        <v>110</v>
      </c>
      <c r="B24" s="5">
        <f>(1+B23)*(1+B3)-1</f>
        <v>0.1499999999999999</v>
      </c>
    </row>
    <row r="25" spans="1:3" ht="15">
      <c r="A25" s="2" t="s">
        <v>8</v>
      </c>
      <c r="B25" s="34">
        <v>5</v>
      </c>
      <c r="C25" s="6" t="s">
        <v>9</v>
      </c>
    </row>
    <row r="26" ht="15">
      <c r="A26" s="1" t="s">
        <v>4</v>
      </c>
    </row>
    <row r="27" spans="1:3" ht="15">
      <c r="A27" s="2" t="s">
        <v>35</v>
      </c>
      <c r="B27" s="5">
        <v>0.05</v>
      </c>
      <c r="C27" s="2" t="s">
        <v>45</v>
      </c>
    </row>
    <row r="28" spans="1:3" ht="15">
      <c r="A28" s="2" t="s">
        <v>5</v>
      </c>
      <c r="B28" s="5">
        <v>0.1</v>
      </c>
      <c r="C28" s="2" t="s">
        <v>45</v>
      </c>
    </row>
    <row r="29" spans="1:3" ht="15">
      <c r="A29" s="2" t="s">
        <v>68</v>
      </c>
      <c r="B29" s="5">
        <v>0</v>
      </c>
      <c r="C29" s="2" t="s">
        <v>45</v>
      </c>
    </row>
    <row r="30" spans="1:3" ht="15">
      <c r="A30" s="2" t="s">
        <v>6</v>
      </c>
      <c r="B30" s="5">
        <v>0.5</v>
      </c>
      <c r="C30" s="2" t="s">
        <v>97</v>
      </c>
    </row>
    <row r="31" ht="15">
      <c r="A31" s="1" t="s">
        <v>81</v>
      </c>
    </row>
    <row r="32" spans="1:3" ht="15">
      <c r="A32" s="2" t="s">
        <v>79</v>
      </c>
      <c r="B32" s="2">
        <v>10</v>
      </c>
      <c r="C32" s="2" t="s">
        <v>9</v>
      </c>
    </row>
    <row r="33" spans="1:3" ht="15">
      <c r="A33" s="2" t="s">
        <v>81</v>
      </c>
      <c r="B33" s="2">
        <v>5</v>
      </c>
      <c r="C33" s="2" t="s">
        <v>9</v>
      </c>
    </row>
    <row r="34" spans="1:3" ht="15">
      <c r="A34" s="2" t="s">
        <v>86</v>
      </c>
      <c r="B34" s="2">
        <v>1</v>
      </c>
      <c r="C34" s="2" t="s">
        <v>9</v>
      </c>
    </row>
    <row r="35" spans="1:3" ht="15">
      <c r="A35" s="2" t="s">
        <v>89</v>
      </c>
      <c r="B35" s="5">
        <v>0.3</v>
      </c>
      <c r="C35" s="2" t="s">
        <v>90</v>
      </c>
    </row>
    <row r="36" ht="15">
      <c r="A36" s="1" t="s">
        <v>102</v>
      </c>
    </row>
    <row r="37" spans="1:2" ht="15">
      <c r="A37" s="2" t="s">
        <v>27</v>
      </c>
      <c r="B37" s="5">
        <v>0.25</v>
      </c>
    </row>
    <row r="38" spans="1:2" ht="30">
      <c r="A38" s="46" t="s">
        <v>111</v>
      </c>
      <c r="B38" s="47">
        <v>0.2</v>
      </c>
    </row>
    <row r="39" ht="15">
      <c r="A39" s="29" t="s">
        <v>98</v>
      </c>
    </row>
    <row r="40" spans="1:2" ht="15">
      <c r="A40" s="2" t="s">
        <v>95</v>
      </c>
      <c r="B40" s="35">
        <f>B22*B38+(1-B22)*B24</f>
        <v>0.17499999999999996</v>
      </c>
    </row>
    <row r="41" spans="1:2" ht="15">
      <c r="A41" s="2" t="s">
        <v>96</v>
      </c>
      <c r="B41" s="36">
        <f>(B40-B3)/(1+B3)</f>
        <v>0.06818181818181814</v>
      </c>
    </row>
    <row r="42" ht="15">
      <c r="B42" s="36"/>
    </row>
    <row r="44" spans="1:2" ht="15">
      <c r="A44" s="1" t="s">
        <v>103</v>
      </c>
      <c r="B44" s="1"/>
    </row>
    <row r="45" spans="1:8" ht="15.75" thickBot="1">
      <c r="A45" s="9"/>
      <c r="B45" s="10">
        <v>0</v>
      </c>
      <c r="C45" s="10">
        <v>1</v>
      </c>
      <c r="D45" s="10">
        <v>2</v>
      </c>
      <c r="E45" s="10">
        <v>3</v>
      </c>
      <c r="F45" s="10">
        <v>4</v>
      </c>
      <c r="G45" s="10">
        <v>5</v>
      </c>
      <c r="H45" s="10">
        <v>6</v>
      </c>
    </row>
    <row r="46" spans="1:8" ht="15.75" thickTop="1">
      <c r="A46" s="11" t="s">
        <v>52</v>
      </c>
      <c r="B46" s="25">
        <f>(1+$B$3)^B45</f>
        <v>1</v>
      </c>
      <c r="C46" s="25">
        <f aca="true" t="shared" si="0" ref="C46:H46">(1+$B$3)^C45</f>
        <v>1.1</v>
      </c>
      <c r="D46" s="25">
        <f t="shared" si="0"/>
        <v>1.2100000000000002</v>
      </c>
      <c r="E46" s="25">
        <f t="shared" si="0"/>
        <v>1.3310000000000004</v>
      </c>
      <c r="F46" s="25">
        <f t="shared" si="0"/>
        <v>1.4641000000000004</v>
      </c>
      <c r="G46" s="25">
        <f t="shared" si="0"/>
        <v>1.6105100000000006</v>
      </c>
      <c r="H46" s="25">
        <f t="shared" si="0"/>
        <v>1.7715610000000008</v>
      </c>
    </row>
    <row r="47" spans="1:8" ht="15">
      <c r="A47" s="11" t="s">
        <v>53</v>
      </c>
      <c r="B47" s="25">
        <f>(1+$B$4)^B45</f>
        <v>1</v>
      </c>
      <c r="C47" s="25">
        <f aca="true" t="shared" si="1" ref="C47:H47">(1+$B$4)^C45</f>
        <v>1.03</v>
      </c>
      <c r="D47" s="25">
        <f t="shared" si="1"/>
        <v>1.0609</v>
      </c>
      <c r="E47" s="25">
        <f t="shared" si="1"/>
        <v>1.092727</v>
      </c>
      <c r="F47" s="25">
        <f t="shared" si="1"/>
        <v>1.12550881</v>
      </c>
      <c r="G47" s="25">
        <f t="shared" si="1"/>
        <v>1.1592740742999998</v>
      </c>
      <c r="H47" s="25">
        <f t="shared" si="1"/>
        <v>1.194052296529</v>
      </c>
    </row>
    <row r="48" spans="1:8" ht="15">
      <c r="A48" s="11" t="s">
        <v>16</v>
      </c>
      <c r="B48" s="25">
        <f>B46/B47</f>
        <v>1</v>
      </c>
      <c r="C48" s="25">
        <f aca="true" t="shared" si="2" ref="C48:H48">C46/C47</f>
        <v>1.0679611650485437</v>
      </c>
      <c r="D48" s="25">
        <f t="shared" si="2"/>
        <v>1.140541050051843</v>
      </c>
      <c r="E48" s="25">
        <f t="shared" si="2"/>
        <v>1.2180535485990558</v>
      </c>
      <c r="F48" s="25">
        <f t="shared" si="2"/>
        <v>1.3008338868533607</v>
      </c>
      <c r="G48" s="25">
        <f t="shared" si="2"/>
        <v>1.3892400733385406</v>
      </c>
      <c r="H48" s="25">
        <f t="shared" si="2"/>
        <v>1.4836544472547522</v>
      </c>
    </row>
    <row r="49" spans="1:8" ht="15">
      <c r="A49" s="19" t="s">
        <v>65</v>
      </c>
      <c r="B49" s="21">
        <f>$B$5*B48</f>
        <v>20</v>
      </c>
      <c r="C49" s="21">
        <f aca="true" t="shared" si="3" ref="C49:H49">$B$5*C48</f>
        <v>21.359223300970875</v>
      </c>
      <c r="D49" s="21">
        <f t="shared" si="3"/>
        <v>22.810821001036857</v>
      </c>
      <c r="E49" s="21">
        <f t="shared" si="3"/>
        <v>24.361070971981114</v>
      </c>
      <c r="F49" s="21">
        <f t="shared" si="3"/>
        <v>26.016677737067212</v>
      </c>
      <c r="G49" s="21">
        <f t="shared" si="3"/>
        <v>27.784801466770812</v>
      </c>
      <c r="H49" s="21">
        <f t="shared" si="3"/>
        <v>29.673088945095042</v>
      </c>
    </row>
    <row r="50" spans="1:4" ht="15">
      <c r="A50" s="11"/>
      <c r="B50" s="17" t="s">
        <v>51</v>
      </c>
      <c r="C50" s="12"/>
      <c r="D50" s="12"/>
    </row>
    <row r="51" spans="1:2" ht="15.75" thickBot="1">
      <c r="A51" s="1" t="s">
        <v>17</v>
      </c>
      <c r="B51" s="24">
        <v>0</v>
      </c>
    </row>
    <row r="52" ht="15.75" thickTop="1">
      <c r="B52" s="8">
        <f>(B9*B7*(1+B8))*B5/1000</f>
        <v>8000</v>
      </c>
    </row>
    <row r="53" spans="1:2" ht="15">
      <c r="A53" s="1" t="s">
        <v>0</v>
      </c>
      <c r="B53" s="17" t="s">
        <v>51</v>
      </c>
    </row>
    <row r="54" spans="1:8" ht="15.75" thickBot="1">
      <c r="A54" s="9"/>
      <c r="B54" s="10">
        <v>0</v>
      </c>
      <c r="C54" s="10">
        <v>1</v>
      </c>
      <c r="D54" s="10">
        <v>2</v>
      </c>
      <c r="E54" s="10">
        <v>3</v>
      </c>
      <c r="F54" s="10">
        <v>4</v>
      </c>
      <c r="G54" s="10">
        <v>5</v>
      </c>
      <c r="H54" s="10">
        <v>6</v>
      </c>
    </row>
    <row r="55" spans="1:8" ht="15.75" thickTop="1">
      <c r="A55" s="2" t="s">
        <v>74</v>
      </c>
      <c r="B55" s="8"/>
      <c r="C55" s="8">
        <f>B11*B12*B9</f>
        <v>600000</v>
      </c>
      <c r="D55" s="8">
        <f>C55*(1-$B$13)</f>
        <v>570000</v>
      </c>
      <c r="E55" s="8">
        <f>D55*(1-$B$13)</f>
        <v>541500</v>
      </c>
      <c r="F55" s="8">
        <f>E55*(1-$B$13)</f>
        <v>514425</v>
      </c>
      <c r="G55" s="8">
        <f>F55*(1-$B$13)</f>
        <v>488703.75</v>
      </c>
      <c r="H55" s="8"/>
    </row>
    <row r="56" spans="1:8" ht="15">
      <c r="A56" s="2" t="s">
        <v>56</v>
      </c>
      <c r="B56" s="8">
        <f>B14</f>
        <v>15</v>
      </c>
      <c r="C56" s="8">
        <f>$B$56*C48</f>
        <v>16.019417475728154</v>
      </c>
      <c r="D56" s="8">
        <f>$B$56*D48</f>
        <v>17.108115750777642</v>
      </c>
      <c r="E56" s="8">
        <f>$B$56*E48</f>
        <v>18.270803228985837</v>
      </c>
      <c r="F56" s="8">
        <f>$B$56*F48</f>
        <v>19.51250830280041</v>
      </c>
      <c r="G56" s="8">
        <f>$B$56*G48</f>
        <v>20.838601100078108</v>
      </c>
      <c r="H56" s="8"/>
    </row>
    <row r="57" spans="1:8" ht="15">
      <c r="A57" s="19" t="s">
        <v>50</v>
      </c>
      <c r="B57" s="23"/>
      <c r="C57" s="23">
        <f>C55*C56/1000</f>
        <v>9611.650485436892</v>
      </c>
      <c r="D57" s="23">
        <f>D55*D56/1000</f>
        <v>9751.625977943257</v>
      </c>
      <c r="E57" s="23">
        <f>E55*E56/1000</f>
        <v>9893.639948495831</v>
      </c>
      <c r="F57" s="23">
        <f>F55*F56/1000</f>
        <v>10037.722083668099</v>
      </c>
      <c r="G57" s="23">
        <f>G55*G56/1000</f>
        <v>10183.902502362296</v>
      </c>
      <c r="H57" s="23"/>
    </row>
    <row r="58" spans="1:4" ht="15">
      <c r="A58" s="11"/>
      <c r="B58" s="11"/>
      <c r="C58" s="11"/>
      <c r="D58" s="12"/>
    </row>
    <row r="59" spans="1:2" ht="15">
      <c r="A59" s="1" t="s">
        <v>12</v>
      </c>
      <c r="B59" s="17" t="s">
        <v>51</v>
      </c>
    </row>
    <row r="60" spans="1:8" ht="15.75" thickBot="1">
      <c r="A60" s="9"/>
      <c r="B60" s="10">
        <v>0</v>
      </c>
      <c r="C60" s="10">
        <v>1</v>
      </c>
      <c r="D60" s="10">
        <v>2</v>
      </c>
      <c r="E60" s="10">
        <v>3</v>
      </c>
      <c r="F60" s="10">
        <v>4</v>
      </c>
      <c r="G60" s="10">
        <v>5</v>
      </c>
      <c r="H60" s="10">
        <v>6</v>
      </c>
    </row>
    <row r="61" spans="1:7" ht="15.75" thickTop="1">
      <c r="A61" s="2" t="s">
        <v>13</v>
      </c>
      <c r="B61" s="8"/>
      <c r="C61" s="8">
        <f>$B$18*C57</f>
        <v>192.23300970873785</v>
      </c>
      <c r="D61" s="8">
        <f>$B$18*D57</f>
        <v>195.03251955886515</v>
      </c>
      <c r="E61" s="8">
        <f>$B$18*E57</f>
        <v>197.87279896991663</v>
      </c>
      <c r="F61" s="8">
        <f>$B$18*F57</f>
        <v>200.75444167336198</v>
      </c>
      <c r="G61" s="8">
        <f>$B$18*G57</f>
        <v>203.67805004724593</v>
      </c>
    </row>
    <row r="62" spans="1:7" ht="15">
      <c r="A62" s="2" t="s">
        <v>29</v>
      </c>
      <c r="B62" s="8"/>
      <c r="C62" s="8">
        <f>$B$17*C57</f>
        <v>1441.7475728155339</v>
      </c>
      <c r="D62" s="8">
        <f>$B$17*D57</f>
        <v>1462.7438966914885</v>
      </c>
      <c r="E62" s="8">
        <f>$B$17*E57</f>
        <v>1484.0459922743746</v>
      </c>
      <c r="F62" s="8">
        <f>$B$17*F57</f>
        <v>1505.6583125502148</v>
      </c>
      <c r="G62" s="8">
        <f>$B$17*G57</f>
        <v>1527.5853753543445</v>
      </c>
    </row>
    <row r="63" spans="1:7" ht="15">
      <c r="A63" s="2" t="s">
        <v>14</v>
      </c>
      <c r="B63" s="8"/>
      <c r="C63" s="8">
        <f>$B$18*C57</f>
        <v>192.23300970873785</v>
      </c>
      <c r="D63" s="8">
        <f>$B$18*D57</f>
        <v>195.03251955886515</v>
      </c>
      <c r="E63" s="8">
        <f>$B$18*E57</f>
        <v>197.87279896991663</v>
      </c>
      <c r="F63" s="8">
        <f>$B$18*F57</f>
        <v>200.75444167336198</v>
      </c>
      <c r="G63" s="8">
        <f>$B$18*G57</f>
        <v>203.67805004724593</v>
      </c>
    </row>
    <row r="64" spans="1:7" ht="15">
      <c r="A64" s="2" t="s">
        <v>15</v>
      </c>
      <c r="B64" s="8"/>
      <c r="C64" s="8">
        <f>$B$19*C57</f>
        <v>1922.3300970873786</v>
      </c>
      <c r="D64" s="8">
        <f>$B$19*D57</f>
        <v>1950.3251955886515</v>
      </c>
      <c r="E64" s="8">
        <f>$B$19*E57</f>
        <v>1978.7279896991663</v>
      </c>
      <c r="F64" s="8">
        <f>$B$19*F57</f>
        <v>2007.54441673362</v>
      </c>
      <c r="G64" s="8">
        <f>$B$19*G57</f>
        <v>2036.7805004724594</v>
      </c>
    </row>
    <row r="65" spans="1:7" ht="15">
      <c r="A65" s="2" t="s">
        <v>55</v>
      </c>
      <c r="B65" s="8"/>
      <c r="C65" s="8">
        <f>$B$20*C48</f>
        <v>533.9805825242719</v>
      </c>
      <c r="D65" s="8">
        <f>$B$20*D48</f>
        <v>570.2705250259214</v>
      </c>
      <c r="E65" s="8">
        <f>$B$20*E48</f>
        <v>609.0267742995279</v>
      </c>
      <c r="F65" s="8">
        <f>$B$20*F48</f>
        <v>650.4169434266803</v>
      </c>
      <c r="G65" s="8">
        <f>$B$20*G48</f>
        <v>694.6200366692703</v>
      </c>
    </row>
    <row r="66" spans="1:8" s="1" customFormat="1" ht="15">
      <c r="A66" s="45" t="s">
        <v>62</v>
      </c>
      <c r="B66" s="22"/>
      <c r="C66" s="22">
        <f>SUM(C61:C65)</f>
        <v>4282.52427184466</v>
      </c>
      <c r="D66" s="22">
        <f>SUM(D61:D65)</f>
        <v>4373.4046564237915</v>
      </c>
      <c r="E66" s="22">
        <f>SUM(E61:E65)</f>
        <v>4467.546354212902</v>
      </c>
      <c r="F66" s="22">
        <f>SUM(F61:F65)</f>
        <v>4565.128556057239</v>
      </c>
      <c r="G66" s="22">
        <f>SUM(G61:G65)</f>
        <v>4666.342012590566</v>
      </c>
      <c r="H66" s="22"/>
    </row>
    <row r="67" spans="1:4" ht="15">
      <c r="A67" s="11"/>
      <c r="B67" s="11"/>
      <c r="C67" s="11"/>
      <c r="D67" s="11"/>
    </row>
    <row r="68" spans="1:3" ht="15">
      <c r="A68" s="16" t="s">
        <v>18</v>
      </c>
      <c r="B68" s="17" t="s">
        <v>51</v>
      </c>
      <c r="C68" s="11"/>
    </row>
    <row r="69" spans="1:8" ht="15.75" thickBot="1">
      <c r="A69" s="9"/>
      <c r="B69" s="10">
        <v>0</v>
      </c>
      <c r="C69" s="10">
        <v>1</v>
      </c>
      <c r="D69" s="10">
        <v>2</v>
      </c>
      <c r="E69" s="10">
        <v>3</v>
      </c>
      <c r="F69" s="10">
        <v>4</v>
      </c>
      <c r="G69" s="10">
        <v>5</v>
      </c>
      <c r="H69" s="10">
        <v>6</v>
      </c>
    </row>
    <row r="70" spans="1:7" ht="15.75" thickTop="1">
      <c r="A70" s="2" t="s">
        <v>19</v>
      </c>
      <c r="B70" s="8"/>
      <c r="C70" s="8">
        <f>B75</f>
        <v>4000</v>
      </c>
      <c r="D70" s="8">
        <f>C75</f>
        <v>3406.7377901538866</v>
      </c>
      <c r="E70" s="8">
        <f>D75</f>
        <v>2724.4862488308563</v>
      </c>
      <c r="F70" s="8">
        <f>E75</f>
        <v>1939.8969763093714</v>
      </c>
      <c r="G70" s="8">
        <f>F75</f>
        <v>1037.619312909664</v>
      </c>
    </row>
    <row r="71" spans="1:7" ht="15">
      <c r="A71" s="2" t="s">
        <v>112</v>
      </c>
      <c r="B71" s="8">
        <f>B52*B22</f>
        <v>4000</v>
      </c>
      <c r="C71" s="8"/>
      <c r="D71" s="8"/>
      <c r="E71" s="8"/>
      <c r="F71" s="8"/>
      <c r="G71" s="8"/>
    </row>
    <row r="72" spans="1:7" ht="15">
      <c r="A72" s="2" t="s">
        <v>61</v>
      </c>
      <c r="B72" s="8"/>
      <c r="C72" s="8">
        <f>PMT(B24,B25,-C70)</f>
        <v>1193.2622098461131</v>
      </c>
      <c r="D72" s="8">
        <f>C72</f>
        <v>1193.2622098461131</v>
      </c>
      <c r="E72" s="8">
        <f>D72</f>
        <v>1193.2622098461131</v>
      </c>
      <c r="F72" s="8">
        <f>E72</f>
        <v>1193.2622098461131</v>
      </c>
      <c r="G72" s="8">
        <f>F72</f>
        <v>1193.2622098461131</v>
      </c>
    </row>
    <row r="73" spans="1:7" ht="15">
      <c r="A73" s="2" t="s">
        <v>34</v>
      </c>
      <c r="B73" s="8">
        <f aca="true" t="shared" si="4" ref="B73:G73">B72-B74</f>
        <v>0</v>
      </c>
      <c r="C73" s="8">
        <f t="shared" si="4"/>
        <v>593.2622098461135</v>
      </c>
      <c r="D73" s="8">
        <f t="shared" si="4"/>
        <v>682.2515413230304</v>
      </c>
      <c r="E73" s="8">
        <f t="shared" si="4"/>
        <v>784.5892725214849</v>
      </c>
      <c r="F73" s="8">
        <f t="shared" si="4"/>
        <v>902.2776633997075</v>
      </c>
      <c r="G73" s="8">
        <f t="shared" si="4"/>
        <v>1037.6193129096637</v>
      </c>
    </row>
    <row r="74" spans="1:7" ht="15">
      <c r="A74" s="2" t="s">
        <v>33</v>
      </c>
      <c r="B74" s="8">
        <f aca="true" t="shared" si="5" ref="B74:G74">B70*$B$24</f>
        <v>0</v>
      </c>
      <c r="C74" s="8">
        <f t="shared" si="5"/>
        <v>599.9999999999997</v>
      </c>
      <c r="D74" s="8">
        <f t="shared" si="5"/>
        <v>511.0106685230827</v>
      </c>
      <c r="E74" s="8">
        <f t="shared" si="5"/>
        <v>408.6729373246282</v>
      </c>
      <c r="F74" s="8">
        <f t="shared" si="5"/>
        <v>290.98454644640555</v>
      </c>
      <c r="G74" s="8">
        <f t="shared" si="5"/>
        <v>155.6428969364495</v>
      </c>
    </row>
    <row r="75" spans="1:8" ht="15">
      <c r="A75" s="19" t="s">
        <v>20</v>
      </c>
      <c r="B75" s="20">
        <f aca="true" t="shared" si="6" ref="B75:G75">B70+B71-B73</f>
        <v>4000</v>
      </c>
      <c r="C75" s="20">
        <f t="shared" si="6"/>
        <v>3406.7377901538866</v>
      </c>
      <c r="D75" s="20">
        <f t="shared" si="6"/>
        <v>2724.4862488308563</v>
      </c>
      <c r="E75" s="20">
        <f t="shared" si="6"/>
        <v>1939.8969763093714</v>
      </c>
      <c r="F75" s="20">
        <f t="shared" si="6"/>
        <v>1037.619312909664</v>
      </c>
      <c r="G75" s="20">
        <f t="shared" si="6"/>
        <v>0</v>
      </c>
      <c r="H75" s="20"/>
    </row>
    <row r="76" spans="3:7" ht="15">
      <c r="C76" s="38"/>
      <c r="D76" s="38"/>
      <c r="E76" s="38"/>
      <c r="F76" s="38"/>
      <c r="G76" s="38"/>
    </row>
    <row r="77" spans="1:2" ht="15">
      <c r="A77" s="1" t="s">
        <v>4</v>
      </c>
      <c r="B77" s="17" t="s">
        <v>51</v>
      </c>
    </row>
    <row r="78" spans="1:8" ht="15.75" thickBot="1">
      <c r="A78" s="9"/>
      <c r="B78" s="10">
        <v>0</v>
      </c>
      <c r="C78" s="10">
        <v>1</v>
      </c>
      <c r="D78" s="10">
        <v>2</v>
      </c>
      <c r="E78" s="10">
        <v>3</v>
      </c>
      <c r="F78" s="10">
        <v>4</v>
      </c>
      <c r="G78" s="10">
        <v>5</v>
      </c>
      <c r="H78" s="10">
        <v>6</v>
      </c>
    </row>
    <row r="79" spans="1:8" ht="15.75" thickTop="1">
      <c r="A79" s="2" t="s">
        <v>82</v>
      </c>
      <c r="B79" s="27"/>
      <c r="C79" s="8">
        <f aca="true" t="shared" si="7" ref="C79:H79">C57*$B$27</f>
        <v>480.58252427184465</v>
      </c>
      <c r="D79" s="8">
        <f t="shared" si="7"/>
        <v>487.58129889716287</v>
      </c>
      <c r="E79" s="8">
        <f t="shared" si="7"/>
        <v>494.6819974247916</v>
      </c>
      <c r="F79" s="8">
        <f t="shared" si="7"/>
        <v>501.886104183405</v>
      </c>
      <c r="G79" s="8">
        <f t="shared" si="7"/>
        <v>509.19512511811485</v>
      </c>
      <c r="H79" s="8">
        <f t="shared" si="7"/>
        <v>0</v>
      </c>
    </row>
    <row r="80" spans="1:8" ht="15">
      <c r="A80" s="2" t="s">
        <v>5</v>
      </c>
      <c r="B80" s="8"/>
      <c r="C80" s="8">
        <f aca="true" t="shared" si="8" ref="C80:H80">C57*$B$28</f>
        <v>961.1650485436893</v>
      </c>
      <c r="D80" s="8">
        <f t="shared" si="8"/>
        <v>975.1625977943257</v>
      </c>
      <c r="E80" s="8">
        <f t="shared" si="8"/>
        <v>989.3639948495832</v>
      </c>
      <c r="F80" s="8">
        <f t="shared" si="8"/>
        <v>1003.77220836681</v>
      </c>
      <c r="G80" s="8">
        <f t="shared" si="8"/>
        <v>1018.3902502362297</v>
      </c>
      <c r="H80" s="8">
        <f t="shared" si="8"/>
        <v>0</v>
      </c>
    </row>
    <row r="81" spans="1:8" ht="15">
      <c r="A81" s="2" t="s">
        <v>68</v>
      </c>
      <c r="C81" s="28">
        <f aca="true" t="shared" si="9" ref="C81:H81">C57*$B$29</f>
        <v>0</v>
      </c>
      <c r="D81" s="28">
        <f t="shared" si="9"/>
        <v>0</v>
      </c>
      <c r="E81" s="28">
        <f t="shared" si="9"/>
        <v>0</v>
      </c>
      <c r="F81" s="28">
        <f t="shared" si="9"/>
        <v>0</v>
      </c>
      <c r="G81" s="28">
        <f t="shared" si="9"/>
        <v>0</v>
      </c>
      <c r="H81" s="28">
        <f t="shared" si="9"/>
        <v>0</v>
      </c>
    </row>
    <row r="82" spans="1:8" ht="15">
      <c r="A82" s="19" t="s">
        <v>6</v>
      </c>
      <c r="B82" s="20"/>
      <c r="C82" s="20">
        <f aca="true" t="shared" si="10" ref="C82:H82">(C61+C62)*$B$30</f>
        <v>816.9902912621359</v>
      </c>
      <c r="D82" s="20">
        <f t="shared" si="10"/>
        <v>828.8882081251768</v>
      </c>
      <c r="E82" s="20">
        <f t="shared" si="10"/>
        <v>840.9593956221456</v>
      </c>
      <c r="F82" s="20">
        <f t="shared" si="10"/>
        <v>853.2063771117884</v>
      </c>
      <c r="G82" s="20">
        <f t="shared" si="10"/>
        <v>865.6317127007952</v>
      </c>
      <c r="H82" s="20">
        <f t="shared" si="10"/>
        <v>0</v>
      </c>
    </row>
    <row r="83" spans="2:5" ht="15">
      <c r="B83" s="8"/>
      <c r="C83" s="18"/>
      <c r="D83" s="18"/>
      <c r="E83" s="18"/>
    </row>
    <row r="84" spans="1:2" ht="15">
      <c r="A84" s="1" t="s">
        <v>83</v>
      </c>
      <c r="B84" s="17" t="s">
        <v>51</v>
      </c>
    </row>
    <row r="85" spans="1:8" ht="15.75" thickBot="1">
      <c r="A85" s="9"/>
      <c r="B85" s="10">
        <v>0</v>
      </c>
      <c r="C85" s="10">
        <v>1</v>
      </c>
      <c r="D85" s="10">
        <v>2</v>
      </c>
      <c r="E85" s="10">
        <v>3</v>
      </c>
      <c r="F85" s="10">
        <v>4</v>
      </c>
      <c r="G85" s="10">
        <v>5</v>
      </c>
      <c r="H85" s="10">
        <v>6</v>
      </c>
    </row>
    <row r="86" spans="1:9" ht="15.75" thickTop="1">
      <c r="A86" s="2" t="s">
        <v>84</v>
      </c>
      <c r="B86" s="8"/>
      <c r="C86" s="18">
        <f aca="true" t="shared" si="11" ref="C86:H86">C79-B79</f>
        <v>480.58252427184465</v>
      </c>
      <c r="D86" s="18">
        <f t="shared" si="11"/>
        <v>6.9987746253182195</v>
      </c>
      <c r="E86" s="18">
        <f t="shared" si="11"/>
        <v>7.100698527628708</v>
      </c>
      <c r="F86" s="18">
        <f t="shared" si="11"/>
        <v>7.20410675861342</v>
      </c>
      <c r="G86" s="18">
        <f t="shared" si="11"/>
        <v>7.309020934709849</v>
      </c>
      <c r="H86" s="18">
        <f t="shared" si="11"/>
        <v>-509.19512511811485</v>
      </c>
      <c r="I86" s="3"/>
    </row>
    <row r="87" spans="1:9" ht="15">
      <c r="A87" s="2" t="s">
        <v>66</v>
      </c>
      <c r="B87" s="8"/>
      <c r="C87" s="18">
        <f aca="true" t="shared" si="12" ref="C87:H89">C80-B80</f>
        <v>961.1650485436893</v>
      </c>
      <c r="D87" s="18">
        <f t="shared" si="12"/>
        <v>13.997549250636439</v>
      </c>
      <c r="E87" s="18">
        <f t="shared" si="12"/>
        <v>14.201397055257416</v>
      </c>
      <c r="F87" s="18">
        <f t="shared" si="12"/>
        <v>14.40821351722684</v>
      </c>
      <c r="G87" s="18">
        <f t="shared" si="12"/>
        <v>14.618041869419699</v>
      </c>
      <c r="H87" s="18">
        <f t="shared" si="12"/>
        <v>-1018.3902502362297</v>
      </c>
      <c r="I87" s="3"/>
    </row>
    <row r="88" spans="1:9" ht="15">
      <c r="A88" s="2" t="s">
        <v>85</v>
      </c>
      <c r="B88" s="8"/>
      <c r="C88" s="18">
        <f t="shared" si="12"/>
        <v>0</v>
      </c>
      <c r="D88" s="18">
        <f t="shared" si="12"/>
        <v>0</v>
      </c>
      <c r="E88" s="18">
        <f t="shared" si="12"/>
        <v>0</v>
      </c>
      <c r="F88" s="18">
        <f t="shared" si="12"/>
        <v>0</v>
      </c>
      <c r="G88" s="18">
        <f t="shared" si="12"/>
        <v>0</v>
      </c>
      <c r="H88" s="18">
        <f t="shared" si="12"/>
        <v>0</v>
      </c>
      <c r="I88" s="3"/>
    </row>
    <row r="89" spans="1:9" ht="15">
      <c r="A89" s="2" t="s">
        <v>104</v>
      </c>
      <c r="B89" s="18"/>
      <c r="C89" s="18">
        <f t="shared" si="12"/>
        <v>816.9902912621359</v>
      </c>
      <c r="D89" s="18">
        <f t="shared" si="12"/>
        <v>11.897916863040905</v>
      </c>
      <c r="E89" s="18">
        <f t="shared" si="12"/>
        <v>12.071187496968832</v>
      </c>
      <c r="F89" s="18">
        <f t="shared" si="12"/>
        <v>12.246981489642735</v>
      </c>
      <c r="G89" s="18">
        <f t="shared" si="12"/>
        <v>12.425335589006863</v>
      </c>
      <c r="H89" s="18">
        <f t="shared" si="12"/>
        <v>-865.6317127007952</v>
      </c>
      <c r="I89" s="3"/>
    </row>
    <row r="90" spans="2:4" ht="15">
      <c r="B90" s="18"/>
      <c r="C90" s="18"/>
      <c r="D90" s="18"/>
    </row>
    <row r="91" spans="1:4" ht="15">
      <c r="A91" s="1" t="s">
        <v>21</v>
      </c>
      <c r="D91" s="17"/>
    </row>
    <row r="92" spans="1:8" ht="15.75" thickBot="1">
      <c r="A92" s="9"/>
      <c r="B92" s="10">
        <v>0</v>
      </c>
      <c r="C92" s="10">
        <v>1</v>
      </c>
      <c r="D92" s="10">
        <v>2</v>
      </c>
      <c r="E92" s="10">
        <v>3</v>
      </c>
      <c r="F92" s="10">
        <v>4</v>
      </c>
      <c r="G92" s="10">
        <v>5</v>
      </c>
      <c r="H92" s="10">
        <v>6</v>
      </c>
    </row>
    <row r="93" spans="1:8" ht="15.75" thickTop="1">
      <c r="A93" s="2" t="s">
        <v>36</v>
      </c>
      <c r="B93" s="8"/>
      <c r="C93" s="8">
        <f>B96</f>
        <v>8000</v>
      </c>
      <c r="D93" s="8">
        <f>C96</f>
        <v>7200</v>
      </c>
      <c r="E93" s="8">
        <f>D96</f>
        <v>6400</v>
      </c>
      <c r="F93" s="8">
        <f>E96</f>
        <v>5600</v>
      </c>
      <c r="G93" s="8">
        <f>F96</f>
        <v>4800</v>
      </c>
      <c r="H93" s="8"/>
    </row>
    <row r="94" spans="1:8" ht="15">
      <c r="A94" s="2" t="s">
        <v>37</v>
      </c>
      <c r="B94" s="8"/>
      <c r="C94" s="8">
        <f>$B$52/$B$32</f>
        <v>800</v>
      </c>
      <c r="D94" s="8">
        <f>$B$52/$B$32</f>
        <v>800</v>
      </c>
      <c r="E94" s="8">
        <f>$B$52/$B$32</f>
        <v>800</v>
      </c>
      <c r="F94" s="8">
        <f>$B$52/$B$32</f>
        <v>800</v>
      </c>
      <c r="G94" s="8">
        <f>$B$52/$B$32</f>
        <v>800</v>
      </c>
      <c r="H94" s="8"/>
    </row>
    <row r="95" spans="1:8" ht="15">
      <c r="A95" s="2" t="s">
        <v>22</v>
      </c>
      <c r="B95" s="8"/>
      <c r="C95" s="8">
        <f>C94+B95</f>
        <v>800</v>
      </c>
      <c r="D95" s="8">
        <f>D94+C95</f>
        <v>1600</v>
      </c>
      <c r="E95" s="8">
        <f>E94+D95</f>
        <v>2400</v>
      </c>
      <c r="F95" s="8">
        <f>F94+E95</f>
        <v>3200</v>
      </c>
      <c r="G95" s="8">
        <f>G94+F95</f>
        <v>4000</v>
      </c>
      <c r="H95" s="8"/>
    </row>
    <row r="96" spans="1:8" ht="15">
      <c r="A96" s="19" t="s">
        <v>38</v>
      </c>
      <c r="B96" s="20">
        <f>B52</f>
        <v>8000</v>
      </c>
      <c r="C96" s="20">
        <f>C93-C94</f>
        <v>7200</v>
      </c>
      <c r="D96" s="20">
        <f>D93-D94</f>
        <v>6400</v>
      </c>
      <c r="E96" s="20">
        <f>E93-E94</f>
        <v>5600</v>
      </c>
      <c r="F96" s="20">
        <f>F93-F94</f>
        <v>4800</v>
      </c>
      <c r="G96" s="20">
        <f>G93-G94</f>
        <v>4000</v>
      </c>
      <c r="H96" s="20"/>
    </row>
    <row r="97" spans="1:4" ht="15">
      <c r="A97" s="4"/>
      <c r="B97" s="4"/>
      <c r="C97" s="4"/>
      <c r="D97" s="4"/>
    </row>
    <row r="98" spans="1:8" ht="15">
      <c r="A98" s="1" t="s">
        <v>39</v>
      </c>
      <c r="B98" s="17" t="s">
        <v>51</v>
      </c>
      <c r="H98" s="17"/>
    </row>
    <row r="99" spans="1:8" ht="15.75" thickBot="1">
      <c r="A99" s="9"/>
      <c r="B99" s="10">
        <v>0</v>
      </c>
      <c r="C99" s="10">
        <v>1</v>
      </c>
      <c r="D99" s="10">
        <v>2</v>
      </c>
      <c r="E99" s="10">
        <v>3</v>
      </c>
      <c r="F99" s="10">
        <v>4</v>
      </c>
      <c r="G99" s="10">
        <v>5</v>
      </c>
      <c r="H99" s="10">
        <v>6</v>
      </c>
    </row>
    <row r="100" spans="1:8" ht="15.75" thickTop="1">
      <c r="A100" s="2" t="s">
        <v>0</v>
      </c>
      <c r="B100" s="8"/>
      <c r="C100" s="8">
        <f>C57</f>
        <v>9611.650485436892</v>
      </c>
      <c r="D100" s="8">
        <f>D57</f>
        <v>9751.625977943257</v>
      </c>
      <c r="E100" s="8">
        <f>E57</f>
        <v>9893.639948495831</v>
      </c>
      <c r="F100" s="8">
        <f>F57</f>
        <v>10037.722083668099</v>
      </c>
      <c r="G100" s="8">
        <f>G57</f>
        <v>10183.902502362296</v>
      </c>
      <c r="H100" s="8"/>
    </row>
    <row r="101" spans="1:8" ht="15">
      <c r="A101" s="2" t="s">
        <v>12</v>
      </c>
      <c r="B101" s="8"/>
      <c r="C101" s="8">
        <f>C66</f>
        <v>4282.52427184466</v>
      </c>
      <c r="D101" s="8">
        <f>D66</f>
        <v>4373.4046564237915</v>
      </c>
      <c r="E101" s="8">
        <f>E66</f>
        <v>4467.546354212902</v>
      </c>
      <c r="F101" s="8">
        <f>F66</f>
        <v>4565.128556057239</v>
      </c>
      <c r="G101" s="8">
        <f>G66</f>
        <v>4666.342012590566</v>
      </c>
      <c r="H101" s="8"/>
    </row>
    <row r="102" spans="1:8" ht="15">
      <c r="A102" s="2" t="s">
        <v>23</v>
      </c>
      <c r="B102" s="8"/>
      <c r="C102" s="8">
        <f>C94</f>
        <v>800</v>
      </c>
      <c r="D102" s="8">
        <f>D94</f>
        <v>800</v>
      </c>
      <c r="E102" s="8">
        <f>E94</f>
        <v>800</v>
      </c>
      <c r="F102" s="8">
        <f>F94</f>
        <v>800</v>
      </c>
      <c r="G102" s="8">
        <f>G94</f>
        <v>800</v>
      </c>
      <c r="H102" s="8"/>
    </row>
    <row r="103" spans="1:8" ht="15">
      <c r="A103" s="2" t="s">
        <v>1</v>
      </c>
      <c r="B103" s="8"/>
      <c r="C103" s="8">
        <f>C100-C101-C102</f>
        <v>4529.1262135922325</v>
      </c>
      <c r="D103" s="8">
        <f>D100-D101-D102</f>
        <v>4578.221321519465</v>
      </c>
      <c r="E103" s="8">
        <f>E100-E101-E102</f>
        <v>4626.093594282929</v>
      </c>
      <c r="F103" s="8">
        <f>F100-F101-F102</f>
        <v>4672.59352761086</v>
      </c>
      <c r="G103" s="8">
        <f>G100-G101-G102</f>
        <v>4717.56048977173</v>
      </c>
      <c r="H103" s="8"/>
    </row>
    <row r="104" spans="1:8" ht="15">
      <c r="A104" s="2" t="s">
        <v>24</v>
      </c>
      <c r="B104" s="8"/>
      <c r="C104" s="8">
        <f>C74</f>
        <v>599.9999999999997</v>
      </c>
      <c r="D104" s="8">
        <f>D74</f>
        <v>511.0106685230827</v>
      </c>
      <c r="E104" s="8">
        <f>E74</f>
        <v>408.6729373246282</v>
      </c>
      <c r="F104" s="8">
        <f>F74</f>
        <v>290.98454644640555</v>
      </c>
      <c r="G104" s="8">
        <f>G74</f>
        <v>155.6428969364495</v>
      </c>
      <c r="H104" s="8"/>
    </row>
    <row r="105" spans="1:8" ht="15">
      <c r="A105" s="2" t="s">
        <v>25</v>
      </c>
      <c r="B105" s="8"/>
      <c r="C105" s="8">
        <f>C103-C104</f>
        <v>3929.126213592233</v>
      </c>
      <c r="D105" s="8">
        <f>D103-D104</f>
        <v>4067.2106529963826</v>
      </c>
      <c r="E105" s="8">
        <f>E103-E104</f>
        <v>4217.420656958301</v>
      </c>
      <c r="F105" s="8">
        <f>F103-F104</f>
        <v>4381.608981164455</v>
      </c>
      <c r="G105" s="8">
        <f>G103-G104</f>
        <v>4561.917592835281</v>
      </c>
      <c r="H105" s="8"/>
    </row>
    <row r="106" spans="1:8" ht="15">
      <c r="A106" s="2" t="s">
        <v>27</v>
      </c>
      <c r="B106" s="8"/>
      <c r="C106" s="8">
        <f>IF(C105&lt;0,0,C105*$B$37)</f>
        <v>982.2815533980582</v>
      </c>
      <c r="D106" s="8">
        <f>IF(D105&lt;0,0,D105*$B$37)</f>
        <v>1016.8026632490956</v>
      </c>
      <c r="E106" s="8">
        <f>IF(E105&lt;0,0,E105*$B$37)</f>
        <v>1054.3551642395753</v>
      </c>
      <c r="F106" s="8">
        <f>IF(F105&lt;0,0,F105*$B$37)</f>
        <v>1095.4022452911138</v>
      </c>
      <c r="G106" s="8">
        <f>IF(G105&lt;0,0,G105*$B$37)</f>
        <v>1140.4793982088202</v>
      </c>
      <c r="H106" s="8"/>
    </row>
    <row r="107" spans="1:8" s="1" customFormat="1" ht="15">
      <c r="A107" s="19" t="s">
        <v>105</v>
      </c>
      <c r="B107" s="22"/>
      <c r="C107" s="22">
        <f>C105-C106</f>
        <v>2946.8446601941746</v>
      </c>
      <c r="D107" s="22">
        <f>D105-D106</f>
        <v>3050.407989747287</v>
      </c>
      <c r="E107" s="22">
        <f>E105-E106</f>
        <v>3163.065492718726</v>
      </c>
      <c r="F107" s="22">
        <f>F105-F106</f>
        <v>3286.206735873341</v>
      </c>
      <c r="G107" s="22">
        <f>G105-G106</f>
        <v>3421.4381946264602</v>
      </c>
      <c r="H107" s="22"/>
    </row>
    <row r="109" ht="15">
      <c r="A109" s="1" t="s">
        <v>93</v>
      </c>
    </row>
    <row r="110" spans="1:8" ht="15">
      <c r="A110" s="13"/>
      <c r="B110" s="14">
        <v>0</v>
      </c>
      <c r="C110" s="14">
        <v>1</v>
      </c>
      <c r="D110" s="14">
        <v>2</v>
      </c>
      <c r="E110" s="14">
        <v>3</v>
      </c>
      <c r="F110" s="14">
        <v>4</v>
      </c>
      <c r="G110" s="14">
        <v>5</v>
      </c>
      <c r="H110" s="14">
        <v>6</v>
      </c>
    </row>
    <row r="111" spans="1:4" ht="15">
      <c r="A111" s="2" t="s">
        <v>57</v>
      </c>
      <c r="B111" s="8"/>
      <c r="C111" s="8"/>
      <c r="D111" s="8"/>
    </row>
    <row r="112" spans="1:8" ht="15">
      <c r="A112" s="2" t="s">
        <v>0</v>
      </c>
      <c r="B112" s="8">
        <f>B100</f>
        <v>0</v>
      </c>
      <c r="C112" s="8">
        <f aca="true" t="shared" si="13" ref="C112:H112">C100</f>
        <v>9611.650485436892</v>
      </c>
      <c r="D112" s="8">
        <f t="shared" si="13"/>
        <v>9751.625977943257</v>
      </c>
      <c r="E112" s="8">
        <f t="shared" si="13"/>
        <v>9893.639948495831</v>
      </c>
      <c r="F112" s="8">
        <f t="shared" si="13"/>
        <v>10037.722083668099</v>
      </c>
      <c r="G112" s="8">
        <f t="shared" si="13"/>
        <v>10183.902502362296</v>
      </c>
      <c r="H112" s="8">
        <f t="shared" si="13"/>
        <v>0</v>
      </c>
    </row>
    <row r="113" spans="1:9" ht="15">
      <c r="A113" s="2" t="s">
        <v>54</v>
      </c>
      <c r="B113" s="8">
        <f>B87</f>
        <v>0</v>
      </c>
      <c r="C113" s="8">
        <f aca="true" t="shared" si="14" ref="C113:H113">C87</f>
        <v>961.1650485436893</v>
      </c>
      <c r="D113" s="8">
        <f t="shared" si="14"/>
        <v>13.997549250636439</v>
      </c>
      <c r="E113" s="8">
        <f t="shared" si="14"/>
        <v>14.201397055257416</v>
      </c>
      <c r="F113" s="8">
        <f t="shared" si="14"/>
        <v>14.40821351722684</v>
      </c>
      <c r="G113" s="8">
        <f t="shared" si="14"/>
        <v>14.618041869419699</v>
      </c>
      <c r="H113" s="8">
        <f t="shared" si="14"/>
        <v>-1018.3902502362297</v>
      </c>
      <c r="I113" s="3"/>
    </row>
    <row r="114" spans="1:9" ht="15">
      <c r="A114" s="2" t="s">
        <v>87</v>
      </c>
      <c r="B114" s="8">
        <f>B86</f>
        <v>0</v>
      </c>
      <c r="C114" s="8">
        <f aca="true" t="shared" si="15" ref="C114:H114">C86</f>
        <v>480.58252427184465</v>
      </c>
      <c r="D114" s="8">
        <f t="shared" si="15"/>
        <v>6.9987746253182195</v>
      </c>
      <c r="E114" s="8">
        <f t="shared" si="15"/>
        <v>7.100698527628708</v>
      </c>
      <c r="F114" s="8">
        <f t="shared" si="15"/>
        <v>7.20410675861342</v>
      </c>
      <c r="G114" s="8">
        <f t="shared" si="15"/>
        <v>7.309020934709849</v>
      </c>
      <c r="H114" s="8">
        <f t="shared" si="15"/>
        <v>-509.19512511811485</v>
      </c>
      <c r="I114" s="3"/>
    </row>
    <row r="115" spans="1:12" ht="15">
      <c r="A115" s="2" t="s">
        <v>88</v>
      </c>
      <c r="B115" s="8">
        <f>B88</f>
        <v>0</v>
      </c>
      <c r="C115" s="8">
        <f aca="true" t="shared" si="16" ref="C115:H115">C88</f>
        <v>0</v>
      </c>
      <c r="D115" s="8">
        <f t="shared" si="16"/>
        <v>0</v>
      </c>
      <c r="E115" s="8">
        <f t="shared" si="16"/>
        <v>0</v>
      </c>
      <c r="F115" s="8">
        <f t="shared" si="16"/>
        <v>0</v>
      </c>
      <c r="G115" s="8">
        <f t="shared" si="16"/>
        <v>0</v>
      </c>
      <c r="H115" s="8">
        <f t="shared" si="16"/>
        <v>0</v>
      </c>
      <c r="I115" s="30"/>
      <c r="J115" s="8"/>
      <c r="K115" s="8"/>
      <c r="L115" s="8"/>
    </row>
    <row r="116" spans="1:9" ht="15">
      <c r="A116" s="2" t="s">
        <v>67</v>
      </c>
      <c r="B116" s="8"/>
      <c r="C116" s="8"/>
      <c r="D116" s="8"/>
      <c r="E116" s="8"/>
      <c r="F116" s="8"/>
      <c r="G116" s="8"/>
      <c r="H116" s="8">
        <f>G96*H48</f>
        <v>5934.617789019008</v>
      </c>
      <c r="I116" s="3"/>
    </row>
    <row r="117" spans="1:9" ht="15">
      <c r="A117" s="15" t="s">
        <v>40</v>
      </c>
      <c r="B117" s="26">
        <f>SUM(B112:B116)</f>
        <v>0</v>
      </c>
      <c r="C117" s="26">
        <f aca="true" t="shared" si="17" ref="C117:H117">SUM(C112:C116)</f>
        <v>11053.398058252425</v>
      </c>
      <c r="D117" s="26">
        <f t="shared" si="17"/>
        <v>9772.62230181921</v>
      </c>
      <c r="E117" s="26">
        <f t="shared" si="17"/>
        <v>9914.942044078718</v>
      </c>
      <c r="F117" s="26">
        <f t="shared" si="17"/>
        <v>10059.33440394394</v>
      </c>
      <c r="G117" s="26">
        <f t="shared" si="17"/>
        <v>10205.829565166427</v>
      </c>
      <c r="H117" s="26">
        <f t="shared" si="17"/>
        <v>4407.032413664664</v>
      </c>
      <c r="I117" s="3"/>
    </row>
    <row r="118" spans="1:9" ht="15">
      <c r="A118" s="2" t="s">
        <v>58</v>
      </c>
      <c r="B118" s="8"/>
      <c r="C118" s="8"/>
      <c r="D118" s="8"/>
      <c r="H118" s="3"/>
      <c r="I118" s="3"/>
    </row>
    <row r="119" spans="1:9" ht="15">
      <c r="A119" s="2" t="s">
        <v>78</v>
      </c>
      <c r="B119" s="8">
        <f>B52</f>
        <v>8000</v>
      </c>
      <c r="C119" s="8"/>
      <c r="D119" s="8"/>
      <c r="E119" s="8"/>
      <c r="F119" s="8"/>
      <c r="G119" s="8"/>
      <c r="H119" s="8"/>
      <c r="I119" s="3"/>
    </row>
    <row r="120" spans="1:9" ht="15">
      <c r="A120" s="2" t="s">
        <v>12</v>
      </c>
      <c r="B120" s="8">
        <f>B66</f>
        <v>0</v>
      </c>
      <c r="C120" s="8">
        <f aca="true" t="shared" si="18" ref="C120:H120">C66</f>
        <v>4282.52427184466</v>
      </c>
      <c r="D120" s="8">
        <f t="shared" si="18"/>
        <v>4373.4046564237915</v>
      </c>
      <c r="E120" s="8">
        <f t="shared" si="18"/>
        <v>4467.546354212902</v>
      </c>
      <c r="F120" s="8">
        <f t="shared" si="18"/>
        <v>4565.128556057239</v>
      </c>
      <c r="G120" s="8">
        <f t="shared" si="18"/>
        <v>4666.342012590566</v>
      </c>
      <c r="H120" s="8">
        <f t="shared" si="18"/>
        <v>0</v>
      </c>
      <c r="I120" s="3"/>
    </row>
    <row r="121" spans="1:9" ht="15">
      <c r="A121" s="2" t="s">
        <v>91</v>
      </c>
      <c r="B121" s="8">
        <f>B89</f>
        <v>0</v>
      </c>
      <c r="C121" s="8">
        <f aca="true" t="shared" si="19" ref="C121:H121">C89</f>
        <v>816.9902912621359</v>
      </c>
      <c r="D121" s="8">
        <f t="shared" si="19"/>
        <v>11.897916863040905</v>
      </c>
      <c r="E121" s="8">
        <f t="shared" si="19"/>
        <v>12.071187496968832</v>
      </c>
      <c r="F121" s="8">
        <f t="shared" si="19"/>
        <v>12.246981489642735</v>
      </c>
      <c r="G121" s="8">
        <f t="shared" si="19"/>
        <v>12.425335589006863</v>
      </c>
      <c r="H121" s="8">
        <f t="shared" si="19"/>
        <v>-865.6317127007952</v>
      </c>
      <c r="I121" s="3"/>
    </row>
    <row r="122" spans="1:9" ht="15">
      <c r="A122" s="2" t="s">
        <v>99</v>
      </c>
      <c r="B122" s="8"/>
      <c r="C122" s="8"/>
      <c r="D122" s="8"/>
      <c r="E122" s="8"/>
      <c r="F122" s="8"/>
      <c r="G122" s="8"/>
      <c r="H122" s="30">
        <f>H116*B35</f>
        <v>1780.3853367057025</v>
      </c>
      <c r="I122" s="3"/>
    </row>
    <row r="123" spans="1:9" ht="15">
      <c r="A123" s="15" t="s">
        <v>26</v>
      </c>
      <c r="B123" s="26">
        <f>SUM(B119:B122)</f>
        <v>8000</v>
      </c>
      <c r="C123" s="26">
        <f aca="true" t="shared" si="20" ref="C123:H123">SUM(C119:C122)</f>
        <v>5099.514563106795</v>
      </c>
      <c r="D123" s="26">
        <f t="shared" si="20"/>
        <v>4385.302573286833</v>
      </c>
      <c r="E123" s="26">
        <f t="shared" si="20"/>
        <v>4479.617541709871</v>
      </c>
      <c r="F123" s="26">
        <f t="shared" si="20"/>
        <v>4577.375537546882</v>
      </c>
      <c r="G123" s="26">
        <f t="shared" si="20"/>
        <v>4678.767348179573</v>
      </c>
      <c r="H123" s="26">
        <f t="shared" si="20"/>
        <v>914.7536240049072</v>
      </c>
      <c r="I123" s="3"/>
    </row>
    <row r="124" spans="1:8" ht="15">
      <c r="A124" s="2" t="s">
        <v>42</v>
      </c>
      <c r="B124" s="8">
        <f>B117-B123</f>
        <v>-8000</v>
      </c>
      <c r="C124" s="8">
        <f aca="true" t="shared" si="21" ref="C124:H124">C117-C123</f>
        <v>5953.88349514563</v>
      </c>
      <c r="D124" s="8">
        <f t="shared" si="21"/>
        <v>5387.319728532378</v>
      </c>
      <c r="E124" s="8">
        <f t="shared" si="21"/>
        <v>5435.324502368847</v>
      </c>
      <c r="F124" s="8">
        <f t="shared" si="21"/>
        <v>5481.958866397058</v>
      </c>
      <c r="G124" s="8">
        <f t="shared" si="21"/>
        <v>5527.062216986854</v>
      </c>
      <c r="H124" s="8">
        <f t="shared" si="21"/>
        <v>3492.278789659757</v>
      </c>
    </row>
    <row r="125" spans="1:8" ht="15">
      <c r="A125" s="2" t="s">
        <v>27</v>
      </c>
      <c r="B125" s="8">
        <f>B106</f>
        <v>0</v>
      </c>
      <c r="C125" s="8">
        <f aca="true" t="shared" si="22" ref="C125:H125">C106</f>
        <v>982.2815533980582</v>
      </c>
      <c r="D125" s="8">
        <f t="shared" si="22"/>
        <v>1016.8026632490956</v>
      </c>
      <c r="E125" s="8">
        <f t="shared" si="22"/>
        <v>1054.3551642395753</v>
      </c>
      <c r="F125" s="8">
        <f t="shared" si="22"/>
        <v>1095.4022452911138</v>
      </c>
      <c r="G125" s="8">
        <f t="shared" si="22"/>
        <v>1140.4793982088202</v>
      </c>
      <c r="H125" s="48">
        <f t="shared" si="22"/>
        <v>0</v>
      </c>
    </row>
    <row r="126" spans="1:8" ht="15">
      <c r="A126" s="19" t="s">
        <v>43</v>
      </c>
      <c r="B126" s="20">
        <f>B124-B125</f>
        <v>-8000</v>
      </c>
      <c r="C126" s="20">
        <f aca="true" t="shared" si="23" ref="C126:H126">C124-C125</f>
        <v>4971.601941747572</v>
      </c>
      <c r="D126" s="20">
        <f t="shared" si="23"/>
        <v>4370.517065283282</v>
      </c>
      <c r="E126" s="20">
        <f t="shared" si="23"/>
        <v>4380.969338129272</v>
      </c>
      <c r="F126" s="20">
        <f t="shared" si="23"/>
        <v>4386.556621105944</v>
      </c>
      <c r="G126" s="20">
        <f t="shared" si="23"/>
        <v>4386.5828187780335</v>
      </c>
      <c r="H126" s="20">
        <f t="shared" si="23"/>
        <v>3492.278789659757</v>
      </c>
    </row>
    <row r="127" spans="1:2" ht="15">
      <c r="A127" s="4" t="s">
        <v>95</v>
      </c>
      <c r="B127" s="40">
        <f>B40</f>
        <v>0.17499999999999996</v>
      </c>
    </row>
    <row r="128" spans="1:2" s="1" customFormat="1" ht="15">
      <c r="A128" s="1" t="s">
        <v>106</v>
      </c>
      <c r="B128" s="41">
        <f>NPV(B127,C126:H126)+B126</f>
        <v>7684.2239272684365</v>
      </c>
    </row>
    <row r="129" spans="1:2" s="1" customFormat="1" ht="15">
      <c r="A129" s="1" t="s">
        <v>44</v>
      </c>
      <c r="B129" s="42">
        <f>IRR(B126:H126)</f>
        <v>0.5245954711774321</v>
      </c>
    </row>
    <row r="131" ht="15">
      <c r="A131" s="1" t="s">
        <v>94</v>
      </c>
    </row>
    <row r="132" spans="1:8" ht="15">
      <c r="A132" s="13"/>
      <c r="B132" s="14">
        <v>0</v>
      </c>
      <c r="C132" s="14">
        <v>1</v>
      </c>
      <c r="D132" s="14">
        <v>2</v>
      </c>
      <c r="E132" s="14">
        <v>3</v>
      </c>
      <c r="F132" s="14">
        <v>4</v>
      </c>
      <c r="G132" s="14">
        <v>5</v>
      </c>
      <c r="H132" s="14">
        <v>6</v>
      </c>
    </row>
    <row r="133" spans="1:4" ht="15">
      <c r="A133" s="2" t="s">
        <v>57</v>
      </c>
      <c r="B133" s="8"/>
      <c r="C133" s="8"/>
      <c r="D133" s="8"/>
    </row>
    <row r="134" spans="1:8" ht="15">
      <c r="A134" s="2" t="s">
        <v>0</v>
      </c>
      <c r="B134" s="8">
        <f aca="true" t="shared" si="24" ref="B134:H138">B112/B$46</f>
        <v>0</v>
      </c>
      <c r="C134" s="8">
        <f t="shared" si="24"/>
        <v>8737.864077669901</v>
      </c>
      <c r="D134" s="8">
        <f t="shared" si="24"/>
        <v>8059.195023093599</v>
      </c>
      <c r="E134" s="8">
        <f t="shared" si="24"/>
        <v>7433.238128096039</v>
      </c>
      <c r="F134" s="8">
        <f t="shared" si="24"/>
        <v>6855.899244360424</v>
      </c>
      <c r="G134" s="8">
        <f t="shared" si="24"/>
        <v>6323.402215672236</v>
      </c>
      <c r="H134" s="8">
        <f t="shared" si="24"/>
        <v>0</v>
      </c>
    </row>
    <row r="135" spans="1:8" ht="15">
      <c r="A135" s="2" t="s">
        <v>54</v>
      </c>
      <c r="B135" s="8">
        <f t="shared" si="24"/>
        <v>0</v>
      </c>
      <c r="C135" s="8">
        <f t="shared" si="24"/>
        <v>873.7864077669902</v>
      </c>
      <c r="D135" s="8">
        <f t="shared" si="24"/>
        <v>11.568222521187138</v>
      </c>
      <c r="E135" s="8">
        <f t="shared" si="24"/>
        <v>10.669719801094976</v>
      </c>
      <c r="F135" s="8">
        <f t="shared" si="24"/>
        <v>9.84100370003882</v>
      </c>
      <c r="G135" s="8">
        <f t="shared" si="24"/>
        <v>9.076653898094202</v>
      </c>
      <c r="H135" s="8">
        <f t="shared" si="24"/>
        <v>-574.8547468792941</v>
      </c>
    </row>
    <row r="136" spans="1:8" ht="15">
      <c r="A136" s="2" t="s">
        <v>87</v>
      </c>
      <c r="B136" s="8">
        <f t="shared" si="24"/>
        <v>0</v>
      </c>
      <c r="C136" s="8">
        <f t="shared" si="24"/>
        <v>436.8932038834951</v>
      </c>
      <c r="D136" s="8">
        <f t="shared" si="24"/>
        <v>5.784111260593569</v>
      </c>
      <c r="E136" s="8">
        <f t="shared" si="24"/>
        <v>5.334859900547488</v>
      </c>
      <c r="F136" s="8">
        <f t="shared" si="24"/>
        <v>4.92050185001941</v>
      </c>
      <c r="G136" s="8">
        <f t="shared" si="24"/>
        <v>4.538326949047101</v>
      </c>
      <c r="H136" s="8">
        <f t="shared" si="24"/>
        <v>-287.42737343964706</v>
      </c>
    </row>
    <row r="137" spans="1:8" ht="15">
      <c r="A137" s="2" t="s">
        <v>88</v>
      </c>
      <c r="B137" s="8">
        <f t="shared" si="24"/>
        <v>0</v>
      </c>
      <c r="C137" s="8">
        <f t="shared" si="24"/>
        <v>0</v>
      </c>
      <c r="D137" s="8">
        <f t="shared" si="24"/>
        <v>0</v>
      </c>
      <c r="E137" s="8">
        <f t="shared" si="24"/>
        <v>0</v>
      </c>
      <c r="F137" s="8">
        <f t="shared" si="24"/>
        <v>0</v>
      </c>
      <c r="G137" s="8">
        <f t="shared" si="24"/>
        <v>0</v>
      </c>
      <c r="H137" s="8">
        <f t="shared" si="24"/>
        <v>0</v>
      </c>
    </row>
    <row r="138" spans="1:8" ht="15">
      <c r="A138" s="2" t="s">
        <v>67</v>
      </c>
      <c r="B138" s="8">
        <f t="shared" si="24"/>
        <v>0</v>
      </c>
      <c r="C138" s="8">
        <f t="shared" si="24"/>
        <v>0</v>
      </c>
      <c r="D138" s="8">
        <f t="shared" si="24"/>
        <v>0</v>
      </c>
      <c r="E138" s="8">
        <f t="shared" si="24"/>
        <v>0</v>
      </c>
      <c r="F138" s="8">
        <f t="shared" si="24"/>
        <v>0</v>
      </c>
      <c r="G138" s="8">
        <f t="shared" si="24"/>
        <v>0</v>
      </c>
      <c r="H138" s="8">
        <f t="shared" si="24"/>
        <v>3349.9370267346176</v>
      </c>
    </row>
    <row r="139" spans="1:8" ht="15">
      <c r="A139" s="15" t="s">
        <v>40</v>
      </c>
      <c r="B139" s="26">
        <f>SUM(B134:B138)</f>
        <v>0</v>
      </c>
      <c r="C139" s="26">
        <f aca="true" t="shared" si="25" ref="C139:H139">SUM(C134:C138)</f>
        <v>10048.543689320388</v>
      </c>
      <c r="D139" s="26">
        <f t="shared" si="25"/>
        <v>8076.54735687538</v>
      </c>
      <c r="E139" s="26">
        <f t="shared" si="25"/>
        <v>7449.242707797682</v>
      </c>
      <c r="F139" s="26">
        <f t="shared" si="25"/>
        <v>6870.660749910482</v>
      </c>
      <c r="G139" s="26">
        <f t="shared" si="25"/>
        <v>6337.017196519377</v>
      </c>
      <c r="H139" s="26">
        <f t="shared" si="25"/>
        <v>2487.654906415676</v>
      </c>
    </row>
    <row r="140" spans="1:4" ht="15">
      <c r="A140" s="2" t="s">
        <v>58</v>
      </c>
      <c r="B140" s="8"/>
      <c r="C140" s="8"/>
      <c r="D140" s="8"/>
    </row>
    <row r="141" spans="1:8" ht="15">
      <c r="A141" s="2" t="s">
        <v>78</v>
      </c>
      <c r="B141" s="8">
        <f aca="true" t="shared" si="26" ref="B141:H144">B119/B$46</f>
        <v>8000</v>
      </c>
      <c r="C141" s="8">
        <f t="shared" si="26"/>
        <v>0</v>
      </c>
      <c r="D141" s="8">
        <f t="shared" si="26"/>
        <v>0</v>
      </c>
      <c r="E141" s="8">
        <f t="shared" si="26"/>
        <v>0</v>
      </c>
      <c r="F141" s="8">
        <f t="shared" si="26"/>
        <v>0</v>
      </c>
      <c r="G141" s="8">
        <f t="shared" si="26"/>
        <v>0</v>
      </c>
      <c r="H141" s="8">
        <f t="shared" si="26"/>
        <v>0</v>
      </c>
    </row>
    <row r="142" spans="1:8" ht="15">
      <c r="A142" s="2" t="s">
        <v>12</v>
      </c>
      <c r="B142" s="8">
        <f t="shared" si="26"/>
        <v>0</v>
      </c>
      <c r="C142" s="8">
        <f t="shared" si="26"/>
        <v>3893.203883495145</v>
      </c>
      <c r="D142" s="8">
        <f t="shared" si="26"/>
        <v>3614.384013573381</v>
      </c>
      <c r="E142" s="8">
        <f t="shared" si="26"/>
        <v>3356.5336996340347</v>
      </c>
      <c r="F142" s="8">
        <f t="shared" si="26"/>
        <v>3118.0442292584094</v>
      </c>
      <c r="G142" s="8">
        <f t="shared" si="26"/>
        <v>2897.431256304254</v>
      </c>
      <c r="H142" s="8">
        <f t="shared" si="26"/>
        <v>0</v>
      </c>
    </row>
    <row r="143" spans="1:8" ht="15">
      <c r="A143" s="2" t="s">
        <v>91</v>
      </c>
      <c r="B143" s="8">
        <f t="shared" si="26"/>
        <v>0</v>
      </c>
      <c r="C143" s="8">
        <f t="shared" si="26"/>
        <v>742.7184466019417</v>
      </c>
      <c r="D143" s="8">
        <f t="shared" si="26"/>
        <v>9.83298914300901</v>
      </c>
      <c r="E143" s="8">
        <f t="shared" si="26"/>
        <v>9.069261830930751</v>
      </c>
      <c r="F143" s="8">
        <f t="shared" si="26"/>
        <v>8.364853145032942</v>
      </c>
      <c r="G143" s="8">
        <f t="shared" si="26"/>
        <v>7.715155813380146</v>
      </c>
      <c r="H143" s="8">
        <f t="shared" si="26"/>
        <v>-488.6265348474</v>
      </c>
    </row>
    <row r="144" spans="1:8" ht="15">
      <c r="A144" s="2" t="s">
        <v>89</v>
      </c>
      <c r="B144" s="8">
        <f t="shared" si="26"/>
        <v>0</v>
      </c>
      <c r="C144" s="8">
        <f t="shared" si="26"/>
        <v>0</v>
      </c>
      <c r="D144" s="8">
        <f t="shared" si="26"/>
        <v>0</v>
      </c>
      <c r="E144" s="8">
        <f t="shared" si="26"/>
        <v>0</v>
      </c>
      <c r="F144" s="8">
        <f t="shared" si="26"/>
        <v>0</v>
      </c>
      <c r="G144" s="8">
        <f t="shared" si="26"/>
        <v>0</v>
      </c>
      <c r="H144" s="8">
        <f t="shared" si="26"/>
        <v>1004.9811080203852</v>
      </c>
    </row>
    <row r="145" spans="1:8" ht="15">
      <c r="A145" s="15" t="s">
        <v>26</v>
      </c>
      <c r="B145" s="26">
        <f>SUM(B141:B144)</f>
        <v>8000</v>
      </c>
      <c r="C145" s="26">
        <f aca="true" t="shared" si="27" ref="C145:H145">SUM(C141:C144)</f>
        <v>4635.922330097086</v>
      </c>
      <c r="D145" s="26">
        <f t="shared" si="27"/>
        <v>3624.2170027163897</v>
      </c>
      <c r="E145" s="26">
        <f t="shared" si="27"/>
        <v>3365.6029614649656</v>
      </c>
      <c r="F145" s="26">
        <f t="shared" si="27"/>
        <v>3126.4090824034424</v>
      </c>
      <c r="G145" s="26">
        <f t="shared" si="27"/>
        <v>2905.146412117634</v>
      </c>
      <c r="H145" s="26">
        <f t="shared" si="27"/>
        <v>516.3545731729853</v>
      </c>
    </row>
    <row r="146" spans="1:8" ht="15">
      <c r="A146" s="2" t="s">
        <v>42</v>
      </c>
      <c r="B146" s="8">
        <f>B139-B145</f>
        <v>-8000</v>
      </c>
      <c r="C146" s="8">
        <f aca="true" t="shared" si="28" ref="C146:H146">C139-C145</f>
        <v>5412.621359223302</v>
      </c>
      <c r="D146" s="8">
        <f t="shared" si="28"/>
        <v>4452.33035415899</v>
      </c>
      <c r="E146" s="8">
        <f t="shared" si="28"/>
        <v>4083.639746332716</v>
      </c>
      <c r="F146" s="8">
        <f t="shared" si="28"/>
        <v>3744.2516675070397</v>
      </c>
      <c r="G146" s="8">
        <f t="shared" si="28"/>
        <v>3431.8707844017426</v>
      </c>
      <c r="H146" s="8">
        <f t="shared" si="28"/>
        <v>1971.3003332426908</v>
      </c>
    </row>
    <row r="147" spans="1:8" ht="15">
      <c r="A147" s="2" t="s">
        <v>27</v>
      </c>
      <c r="B147" s="30">
        <f aca="true" t="shared" si="29" ref="B147:H147">B125/B46</f>
        <v>0</v>
      </c>
      <c r="C147" s="30">
        <f t="shared" si="29"/>
        <v>892.983230361871</v>
      </c>
      <c r="D147" s="30">
        <f t="shared" si="29"/>
        <v>840.332779544707</v>
      </c>
      <c r="E147" s="30">
        <f t="shared" si="29"/>
        <v>792.1526403002066</v>
      </c>
      <c r="F147" s="30">
        <f t="shared" si="29"/>
        <v>748.1744725709401</v>
      </c>
      <c r="G147" s="30">
        <f t="shared" si="29"/>
        <v>708.1479768575294</v>
      </c>
      <c r="H147" s="30">
        <f t="shared" si="29"/>
        <v>0</v>
      </c>
    </row>
    <row r="148" spans="1:8" ht="15">
      <c r="A148" s="19" t="s">
        <v>43</v>
      </c>
      <c r="B148" s="23">
        <f>B146-B147</f>
        <v>-8000</v>
      </c>
      <c r="C148" s="23">
        <f aca="true" t="shared" si="30" ref="C148:H148">C146-C147</f>
        <v>4519.63812886143</v>
      </c>
      <c r="D148" s="23">
        <f t="shared" si="30"/>
        <v>3611.997574614283</v>
      </c>
      <c r="E148" s="23">
        <f t="shared" si="30"/>
        <v>3291.4871060325095</v>
      </c>
      <c r="F148" s="23">
        <f t="shared" si="30"/>
        <v>2996.0771949360997</v>
      </c>
      <c r="G148" s="23">
        <f t="shared" si="30"/>
        <v>2723.722807544213</v>
      </c>
      <c r="H148" s="23">
        <f t="shared" si="30"/>
        <v>1971.3003332426908</v>
      </c>
    </row>
    <row r="149" spans="1:2" ht="15">
      <c r="A149" s="2" t="s">
        <v>96</v>
      </c>
      <c r="B149" s="43">
        <f>B41</f>
        <v>0.06818181818181814</v>
      </c>
    </row>
    <row r="150" spans="1:2" s="1" customFormat="1" ht="15">
      <c r="A150" s="1" t="s">
        <v>106</v>
      </c>
      <c r="B150" s="41">
        <f>NPV(B149,C148:H148)+B148</f>
        <v>7684.2239272684365</v>
      </c>
    </row>
    <row r="151" spans="1:2" s="1" customFormat="1" ht="15">
      <c r="A151" s="1" t="s">
        <v>28</v>
      </c>
      <c r="B151" s="42">
        <f>IRR(B148:H148)</f>
        <v>0.3859958828880172</v>
      </c>
    </row>
    <row r="152" ht="15">
      <c r="B152" s="3"/>
    </row>
    <row r="153" ht="15">
      <c r="A153" s="1" t="s">
        <v>71</v>
      </c>
    </row>
    <row r="154" spans="1:8" ht="15">
      <c r="A154" s="13"/>
      <c r="B154" s="14">
        <v>0</v>
      </c>
      <c r="C154" s="14">
        <v>1</v>
      </c>
      <c r="D154" s="14">
        <v>2</v>
      </c>
      <c r="E154" s="14">
        <v>3</v>
      </c>
      <c r="F154" s="14">
        <v>4</v>
      </c>
      <c r="G154" s="14">
        <v>5</v>
      </c>
      <c r="H154" s="14">
        <v>6</v>
      </c>
    </row>
    <row r="155" spans="1:4" ht="15">
      <c r="A155" s="2" t="s">
        <v>57</v>
      </c>
      <c r="B155" s="8"/>
      <c r="C155" s="8"/>
      <c r="D155" s="8"/>
    </row>
    <row r="156" spans="1:8" ht="15">
      <c r="A156" s="2" t="s">
        <v>0</v>
      </c>
      <c r="B156" s="8">
        <f>B57</f>
        <v>0</v>
      </c>
      <c r="C156" s="8">
        <f aca="true" t="shared" si="31" ref="C156:H156">C57</f>
        <v>9611.650485436892</v>
      </c>
      <c r="D156" s="8">
        <f t="shared" si="31"/>
        <v>9751.625977943257</v>
      </c>
      <c r="E156" s="8">
        <f t="shared" si="31"/>
        <v>9893.639948495831</v>
      </c>
      <c r="F156" s="8">
        <f t="shared" si="31"/>
        <v>10037.722083668099</v>
      </c>
      <c r="G156" s="8">
        <f t="shared" si="31"/>
        <v>10183.902502362296</v>
      </c>
      <c r="H156" s="8">
        <f t="shared" si="31"/>
        <v>0</v>
      </c>
    </row>
    <row r="157" spans="1:9" ht="15">
      <c r="A157" s="2" t="s">
        <v>54</v>
      </c>
      <c r="B157" s="8">
        <f>B87</f>
        <v>0</v>
      </c>
      <c r="C157" s="8">
        <f aca="true" t="shared" si="32" ref="C157:H157">C87</f>
        <v>961.1650485436893</v>
      </c>
      <c r="D157" s="8">
        <f t="shared" si="32"/>
        <v>13.997549250636439</v>
      </c>
      <c r="E157" s="8">
        <f t="shared" si="32"/>
        <v>14.201397055257416</v>
      </c>
      <c r="F157" s="8">
        <f t="shared" si="32"/>
        <v>14.40821351722684</v>
      </c>
      <c r="G157" s="8">
        <f t="shared" si="32"/>
        <v>14.618041869419699</v>
      </c>
      <c r="H157" s="8">
        <f t="shared" si="32"/>
        <v>-1018.3902502362297</v>
      </c>
      <c r="I157" s="3"/>
    </row>
    <row r="158" spans="1:9" ht="15">
      <c r="A158" s="2" t="s">
        <v>87</v>
      </c>
      <c r="B158" s="8">
        <f>B86</f>
        <v>0</v>
      </c>
      <c r="C158" s="8">
        <f aca="true" t="shared" si="33" ref="C158:H158">C86</f>
        <v>480.58252427184465</v>
      </c>
      <c r="D158" s="8">
        <f t="shared" si="33"/>
        <v>6.9987746253182195</v>
      </c>
      <c r="E158" s="8">
        <f t="shared" si="33"/>
        <v>7.100698527628708</v>
      </c>
      <c r="F158" s="8">
        <f t="shared" si="33"/>
        <v>7.20410675861342</v>
      </c>
      <c r="G158" s="8">
        <f t="shared" si="33"/>
        <v>7.309020934709849</v>
      </c>
      <c r="H158" s="8">
        <f t="shared" si="33"/>
        <v>-509.19512511811485</v>
      </c>
      <c r="I158" s="3"/>
    </row>
    <row r="159" spans="1:9" ht="15">
      <c r="A159" s="2" t="s">
        <v>88</v>
      </c>
      <c r="B159" s="8">
        <f>B88</f>
        <v>0</v>
      </c>
      <c r="C159" s="8">
        <f aca="true" t="shared" si="34" ref="C159:H159">C88</f>
        <v>0</v>
      </c>
      <c r="D159" s="8">
        <f t="shared" si="34"/>
        <v>0</v>
      </c>
      <c r="E159" s="8">
        <f t="shared" si="34"/>
        <v>0</v>
      </c>
      <c r="F159" s="8">
        <f t="shared" si="34"/>
        <v>0</v>
      </c>
      <c r="G159" s="8">
        <f t="shared" si="34"/>
        <v>0</v>
      </c>
      <c r="H159" s="8">
        <f t="shared" si="34"/>
        <v>0</v>
      </c>
      <c r="I159" s="3"/>
    </row>
    <row r="160" spans="1:9" ht="15">
      <c r="A160" s="2" t="s">
        <v>67</v>
      </c>
      <c r="B160" s="8"/>
      <c r="C160" s="8"/>
      <c r="D160" s="8"/>
      <c r="E160" s="8"/>
      <c r="F160" s="8"/>
      <c r="G160" s="8"/>
      <c r="H160" s="8">
        <f>G96*H48</f>
        <v>5934.617789019008</v>
      </c>
      <c r="I160" s="3"/>
    </row>
    <row r="161" spans="1:9" ht="15">
      <c r="A161" s="2" t="s">
        <v>73</v>
      </c>
      <c r="B161" s="8">
        <f>B71</f>
        <v>4000</v>
      </c>
      <c r="C161" s="8">
        <f aca="true" t="shared" si="35" ref="C161:H161">C71</f>
        <v>0</v>
      </c>
      <c r="D161" s="8">
        <f t="shared" si="35"/>
        <v>0</v>
      </c>
      <c r="E161" s="8">
        <f t="shared" si="35"/>
        <v>0</v>
      </c>
      <c r="F161" s="8">
        <f t="shared" si="35"/>
        <v>0</v>
      </c>
      <c r="G161" s="8">
        <f t="shared" si="35"/>
        <v>0</v>
      </c>
      <c r="H161" s="8">
        <f t="shared" si="35"/>
        <v>0</v>
      </c>
      <c r="I161" s="3"/>
    </row>
    <row r="162" spans="1:9" ht="15">
      <c r="A162" s="15" t="s">
        <v>40</v>
      </c>
      <c r="B162" s="26">
        <f>SUM(B156:B161)</f>
        <v>4000</v>
      </c>
      <c r="C162" s="26">
        <f aca="true" t="shared" si="36" ref="C162:H162">SUM(C156:C161)</f>
        <v>11053.398058252425</v>
      </c>
      <c r="D162" s="26">
        <f t="shared" si="36"/>
        <v>9772.62230181921</v>
      </c>
      <c r="E162" s="26">
        <f t="shared" si="36"/>
        <v>9914.942044078718</v>
      </c>
      <c r="F162" s="26">
        <f t="shared" si="36"/>
        <v>10059.33440394394</v>
      </c>
      <c r="G162" s="26">
        <f t="shared" si="36"/>
        <v>10205.829565166427</v>
      </c>
      <c r="H162" s="26">
        <f t="shared" si="36"/>
        <v>4407.032413664664</v>
      </c>
      <c r="I162" s="3"/>
    </row>
    <row r="163" spans="1:9" ht="15">
      <c r="A163" s="2" t="s">
        <v>58</v>
      </c>
      <c r="B163" s="8"/>
      <c r="C163" s="8"/>
      <c r="D163" s="8"/>
      <c r="H163" s="3"/>
      <c r="I163" s="3"/>
    </row>
    <row r="164" spans="1:9" ht="15">
      <c r="A164" s="2" t="s">
        <v>78</v>
      </c>
      <c r="B164" s="8">
        <f>B52</f>
        <v>8000</v>
      </c>
      <c r="C164" s="8"/>
      <c r="D164" s="8"/>
      <c r="E164" s="8"/>
      <c r="F164" s="8"/>
      <c r="G164" s="8"/>
      <c r="H164" s="8"/>
      <c r="I164" s="3"/>
    </row>
    <row r="165" spans="1:9" ht="15">
      <c r="A165" s="2" t="s">
        <v>12</v>
      </c>
      <c r="B165" s="8">
        <f>B66</f>
        <v>0</v>
      </c>
      <c r="C165" s="8">
        <f aca="true" t="shared" si="37" ref="C165:H165">C66</f>
        <v>4282.52427184466</v>
      </c>
      <c r="D165" s="8">
        <f t="shared" si="37"/>
        <v>4373.4046564237915</v>
      </c>
      <c r="E165" s="8">
        <f t="shared" si="37"/>
        <v>4467.546354212902</v>
      </c>
      <c r="F165" s="8">
        <f t="shared" si="37"/>
        <v>4565.128556057239</v>
      </c>
      <c r="G165" s="8">
        <f t="shared" si="37"/>
        <v>4666.342012590566</v>
      </c>
      <c r="H165" s="8">
        <f t="shared" si="37"/>
        <v>0</v>
      </c>
      <c r="I165" s="3"/>
    </row>
    <row r="166" spans="1:9" ht="15">
      <c r="A166" s="2" t="s">
        <v>91</v>
      </c>
      <c r="B166" s="8">
        <f>B89</f>
        <v>0</v>
      </c>
      <c r="C166" s="8">
        <f aca="true" t="shared" si="38" ref="C166:H166">C89</f>
        <v>816.9902912621359</v>
      </c>
      <c r="D166" s="8">
        <f t="shared" si="38"/>
        <v>11.897916863040905</v>
      </c>
      <c r="E166" s="8">
        <f t="shared" si="38"/>
        <v>12.071187496968832</v>
      </c>
      <c r="F166" s="8">
        <f t="shared" si="38"/>
        <v>12.246981489642735</v>
      </c>
      <c r="G166" s="8">
        <f t="shared" si="38"/>
        <v>12.425335589006863</v>
      </c>
      <c r="H166" s="8">
        <f t="shared" si="38"/>
        <v>-865.6317127007952</v>
      </c>
      <c r="I166" s="3"/>
    </row>
    <row r="167" spans="1:9" ht="15">
      <c r="A167" s="2" t="s">
        <v>89</v>
      </c>
      <c r="B167" s="8"/>
      <c r="C167" s="8"/>
      <c r="D167" s="8"/>
      <c r="E167" s="8"/>
      <c r="F167" s="8"/>
      <c r="G167" s="8"/>
      <c r="H167" s="8">
        <f>H116*B35</f>
        <v>1780.3853367057025</v>
      </c>
      <c r="I167" s="3"/>
    </row>
    <row r="168" spans="1:9" ht="15">
      <c r="A168" s="2" t="s">
        <v>63</v>
      </c>
      <c r="B168" s="8">
        <f>B72</f>
        <v>0</v>
      </c>
      <c r="C168" s="8">
        <f aca="true" t="shared" si="39" ref="C168:H168">C72</f>
        <v>1193.2622098461131</v>
      </c>
      <c r="D168" s="8">
        <f t="shared" si="39"/>
        <v>1193.2622098461131</v>
      </c>
      <c r="E168" s="8">
        <f t="shared" si="39"/>
        <v>1193.2622098461131</v>
      </c>
      <c r="F168" s="8">
        <f t="shared" si="39"/>
        <v>1193.2622098461131</v>
      </c>
      <c r="G168" s="8">
        <f t="shared" si="39"/>
        <v>1193.2622098461131</v>
      </c>
      <c r="H168" s="8">
        <f t="shared" si="39"/>
        <v>0</v>
      </c>
      <c r="I168" s="3"/>
    </row>
    <row r="169" spans="1:8" ht="15">
      <c r="A169" s="15" t="s">
        <v>26</v>
      </c>
      <c r="B169" s="26">
        <f>SUM(B164:B168)</f>
        <v>8000</v>
      </c>
      <c r="C169" s="26">
        <f aca="true" t="shared" si="40" ref="C169:H169">SUM(C164:C168)</f>
        <v>6292.776772952909</v>
      </c>
      <c r="D169" s="26">
        <f t="shared" si="40"/>
        <v>5578.564783132946</v>
      </c>
      <c r="E169" s="26">
        <f t="shared" si="40"/>
        <v>5672.8797515559845</v>
      </c>
      <c r="F169" s="26">
        <f t="shared" si="40"/>
        <v>5770.637747392995</v>
      </c>
      <c r="G169" s="26">
        <f t="shared" si="40"/>
        <v>5872.029558025686</v>
      </c>
      <c r="H169" s="26">
        <f t="shared" si="40"/>
        <v>914.7536240049072</v>
      </c>
    </row>
    <row r="170" spans="1:8" ht="15">
      <c r="A170" s="2" t="s">
        <v>42</v>
      </c>
      <c r="B170" s="8">
        <f>B162-B169</f>
        <v>-4000</v>
      </c>
      <c r="C170" s="8">
        <f aca="true" t="shared" si="41" ref="C170:H170">C162-C169</f>
        <v>4760.621285299517</v>
      </c>
      <c r="D170" s="8">
        <f t="shared" si="41"/>
        <v>4194.057518686264</v>
      </c>
      <c r="E170" s="8">
        <f t="shared" si="41"/>
        <v>4242.0622925227335</v>
      </c>
      <c r="F170" s="8">
        <f t="shared" si="41"/>
        <v>4288.696656550945</v>
      </c>
      <c r="G170" s="8">
        <f t="shared" si="41"/>
        <v>4333.8000071407405</v>
      </c>
      <c r="H170" s="8">
        <f t="shared" si="41"/>
        <v>3492.278789659757</v>
      </c>
    </row>
    <row r="171" spans="1:8" ht="15">
      <c r="A171" s="2" t="s">
        <v>27</v>
      </c>
      <c r="B171" s="8">
        <f>B106</f>
        <v>0</v>
      </c>
      <c r="C171" s="8">
        <f aca="true" t="shared" si="42" ref="C171:H171">C106</f>
        <v>982.2815533980582</v>
      </c>
      <c r="D171" s="8">
        <f t="shared" si="42"/>
        <v>1016.8026632490956</v>
      </c>
      <c r="E171" s="8">
        <f t="shared" si="42"/>
        <v>1054.3551642395753</v>
      </c>
      <c r="F171" s="8">
        <f t="shared" si="42"/>
        <v>1095.4022452911138</v>
      </c>
      <c r="G171" s="8">
        <f t="shared" si="42"/>
        <v>1140.4793982088202</v>
      </c>
      <c r="H171" s="8">
        <f t="shared" si="42"/>
        <v>0</v>
      </c>
    </row>
    <row r="172" spans="1:8" ht="15">
      <c r="A172" s="19" t="s">
        <v>43</v>
      </c>
      <c r="B172" s="20">
        <f>B170-B171</f>
        <v>-4000</v>
      </c>
      <c r="C172" s="20">
        <f aca="true" t="shared" si="43" ref="C172:H172">C170-C171</f>
        <v>3778.3397319014584</v>
      </c>
      <c r="D172" s="20">
        <f t="shared" si="43"/>
        <v>3177.2548554371688</v>
      </c>
      <c r="E172" s="20">
        <f t="shared" si="43"/>
        <v>3187.7071282831585</v>
      </c>
      <c r="F172" s="20">
        <f t="shared" si="43"/>
        <v>3193.2944112598307</v>
      </c>
      <c r="G172" s="20">
        <f t="shared" si="43"/>
        <v>3193.32060893192</v>
      </c>
      <c r="H172" s="20">
        <f t="shared" si="43"/>
        <v>3492.278789659757</v>
      </c>
    </row>
    <row r="173" spans="1:2" ht="16.5">
      <c r="A173" s="4" t="s">
        <v>107</v>
      </c>
      <c r="B173" s="40">
        <f>B38</f>
        <v>0.2</v>
      </c>
    </row>
    <row r="174" spans="1:2" s="1" customFormat="1" ht="15">
      <c r="A174" s="1" t="s">
        <v>106</v>
      </c>
      <c r="B174" s="41">
        <f>NPV(B173,C172:H172)+B172</f>
        <v>7192.638466979419</v>
      </c>
    </row>
    <row r="175" spans="1:2" s="1" customFormat="1" ht="15">
      <c r="A175" s="1" t="s">
        <v>44</v>
      </c>
      <c r="B175" s="42">
        <f>IRR(B172:H172)</f>
        <v>0.8455467791331033</v>
      </c>
    </row>
    <row r="176" ht="15">
      <c r="B176" s="3"/>
    </row>
    <row r="177" ht="15">
      <c r="A177" s="1" t="s">
        <v>72</v>
      </c>
    </row>
    <row r="178" spans="1:8" ht="15">
      <c r="A178" s="13"/>
      <c r="B178" s="14">
        <v>0</v>
      </c>
      <c r="C178" s="14">
        <v>1</v>
      </c>
      <c r="D178" s="14">
        <v>2</v>
      </c>
      <c r="E178" s="14">
        <v>3</v>
      </c>
      <c r="F178" s="14">
        <v>4</v>
      </c>
      <c r="G178" s="14">
        <v>5</v>
      </c>
      <c r="H178" s="14">
        <v>6</v>
      </c>
    </row>
    <row r="179" spans="1:4" ht="15">
      <c r="A179" s="2" t="s">
        <v>57</v>
      </c>
      <c r="B179" s="8"/>
      <c r="C179" s="8"/>
      <c r="D179" s="8"/>
    </row>
    <row r="180" spans="1:8" ht="15">
      <c r="A180" s="2" t="s">
        <v>0</v>
      </c>
      <c r="B180" s="8">
        <f>B156/B$46</f>
        <v>0</v>
      </c>
      <c r="C180" s="8">
        <f aca="true" t="shared" si="44" ref="C180:H180">C156/C$46</f>
        <v>8737.864077669901</v>
      </c>
      <c r="D180" s="8">
        <f t="shared" si="44"/>
        <v>8059.195023093599</v>
      </c>
      <c r="E180" s="8">
        <f t="shared" si="44"/>
        <v>7433.238128096039</v>
      </c>
      <c r="F180" s="8">
        <f t="shared" si="44"/>
        <v>6855.899244360424</v>
      </c>
      <c r="G180" s="8">
        <f t="shared" si="44"/>
        <v>6323.402215672236</v>
      </c>
      <c r="H180" s="8">
        <f t="shared" si="44"/>
        <v>0</v>
      </c>
    </row>
    <row r="181" spans="1:8" ht="15">
      <c r="A181" s="2" t="s">
        <v>54</v>
      </c>
      <c r="B181" s="8">
        <f>B157/B$46</f>
        <v>0</v>
      </c>
      <c r="C181" s="8">
        <f aca="true" t="shared" si="45" ref="C181:H183">C157/C$46</f>
        <v>873.7864077669902</v>
      </c>
      <c r="D181" s="8">
        <f t="shared" si="45"/>
        <v>11.568222521187138</v>
      </c>
      <c r="E181" s="8">
        <f t="shared" si="45"/>
        <v>10.669719801094976</v>
      </c>
      <c r="F181" s="8">
        <f t="shared" si="45"/>
        <v>9.84100370003882</v>
      </c>
      <c r="G181" s="8">
        <f t="shared" si="45"/>
        <v>9.076653898094202</v>
      </c>
      <c r="H181" s="8">
        <f t="shared" si="45"/>
        <v>-574.8547468792941</v>
      </c>
    </row>
    <row r="182" spans="1:8" ht="15">
      <c r="A182" s="2" t="s">
        <v>87</v>
      </c>
      <c r="B182" s="8">
        <f>B158/B$46</f>
        <v>0</v>
      </c>
      <c r="C182" s="8">
        <f t="shared" si="45"/>
        <v>436.8932038834951</v>
      </c>
      <c r="D182" s="8">
        <f t="shared" si="45"/>
        <v>5.784111260593569</v>
      </c>
      <c r="E182" s="8">
        <f t="shared" si="45"/>
        <v>5.334859900547488</v>
      </c>
      <c r="F182" s="8">
        <f t="shared" si="45"/>
        <v>4.92050185001941</v>
      </c>
      <c r="G182" s="8">
        <f t="shared" si="45"/>
        <v>4.538326949047101</v>
      </c>
      <c r="H182" s="8">
        <f t="shared" si="45"/>
        <v>-287.42737343964706</v>
      </c>
    </row>
    <row r="183" spans="1:8" ht="15">
      <c r="A183" s="2" t="s">
        <v>92</v>
      </c>
      <c r="B183" s="8">
        <f>B159/B$46</f>
        <v>0</v>
      </c>
      <c r="C183" s="8">
        <f t="shared" si="45"/>
        <v>0</v>
      </c>
      <c r="D183" s="8">
        <f t="shared" si="45"/>
        <v>0</v>
      </c>
      <c r="E183" s="8">
        <f t="shared" si="45"/>
        <v>0</v>
      </c>
      <c r="F183" s="8">
        <f t="shared" si="45"/>
        <v>0</v>
      </c>
      <c r="G183" s="8">
        <f t="shared" si="45"/>
        <v>0</v>
      </c>
      <c r="H183" s="8">
        <f t="shared" si="45"/>
        <v>0</v>
      </c>
    </row>
    <row r="184" spans="1:8" ht="15">
      <c r="A184" s="2" t="s">
        <v>67</v>
      </c>
      <c r="B184" s="8">
        <f aca="true" t="shared" si="46" ref="B184:H184">B160/B$46</f>
        <v>0</v>
      </c>
      <c r="C184" s="8">
        <f t="shared" si="46"/>
        <v>0</v>
      </c>
      <c r="D184" s="8">
        <f t="shared" si="46"/>
        <v>0</v>
      </c>
      <c r="E184" s="8">
        <f t="shared" si="46"/>
        <v>0</v>
      </c>
      <c r="F184" s="8">
        <f t="shared" si="46"/>
        <v>0</v>
      </c>
      <c r="G184" s="8">
        <f t="shared" si="46"/>
        <v>0</v>
      </c>
      <c r="H184" s="8">
        <f t="shared" si="46"/>
        <v>3349.9370267346176</v>
      </c>
    </row>
    <row r="185" spans="1:8" ht="15">
      <c r="A185" s="2" t="s">
        <v>73</v>
      </c>
      <c r="B185" s="8">
        <f aca="true" t="shared" si="47" ref="B185:H185">B161/B$46</f>
        <v>4000</v>
      </c>
      <c r="C185" s="8">
        <f t="shared" si="47"/>
        <v>0</v>
      </c>
      <c r="D185" s="8">
        <f t="shared" si="47"/>
        <v>0</v>
      </c>
      <c r="E185" s="8">
        <f t="shared" si="47"/>
        <v>0</v>
      </c>
      <c r="F185" s="8">
        <f t="shared" si="47"/>
        <v>0</v>
      </c>
      <c r="G185" s="8">
        <f t="shared" si="47"/>
        <v>0</v>
      </c>
      <c r="H185" s="8">
        <f t="shared" si="47"/>
        <v>0</v>
      </c>
    </row>
    <row r="186" spans="1:8" ht="15">
      <c r="A186" s="15" t="s">
        <v>40</v>
      </c>
      <c r="B186" s="26">
        <f>SUM(B180:B185)</f>
        <v>4000</v>
      </c>
      <c r="C186" s="26">
        <f aca="true" t="shared" si="48" ref="C186:H186">SUM(C180:C185)</f>
        <v>10048.543689320388</v>
      </c>
      <c r="D186" s="26">
        <f t="shared" si="48"/>
        <v>8076.54735687538</v>
      </c>
      <c r="E186" s="26">
        <f t="shared" si="48"/>
        <v>7449.242707797682</v>
      </c>
      <c r="F186" s="26">
        <f t="shared" si="48"/>
        <v>6870.660749910482</v>
      </c>
      <c r="G186" s="26">
        <f t="shared" si="48"/>
        <v>6337.017196519377</v>
      </c>
      <c r="H186" s="26">
        <f t="shared" si="48"/>
        <v>2487.654906415676</v>
      </c>
    </row>
    <row r="187" spans="1:8" ht="15">
      <c r="A187" s="2" t="s">
        <v>58</v>
      </c>
      <c r="B187" s="8"/>
      <c r="C187" s="8"/>
      <c r="D187" s="8"/>
      <c r="H187" s="3"/>
    </row>
    <row r="188" spans="1:8" ht="15">
      <c r="A188" s="2" t="s">
        <v>41</v>
      </c>
      <c r="B188" s="8">
        <f aca="true" t="shared" si="49" ref="B188:H190">B164/B$46</f>
        <v>8000</v>
      </c>
      <c r="C188" s="8">
        <f t="shared" si="49"/>
        <v>0</v>
      </c>
      <c r="D188" s="8">
        <f t="shared" si="49"/>
        <v>0</v>
      </c>
      <c r="E188" s="8">
        <f t="shared" si="49"/>
        <v>0</v>
      </c>
      <c r="F188" s="8">
        <f t="shared" si="49"/>
        <v>0</v>
      </c>
      <c r="G188" s="8">
        <f t="shared" si="49"/>
        <v>0</v>
      </c>
      <c r="H188" s="8">
        <f t="shared" si="49"/>
        <v>0</v>
      </c>
    </row>
    <row r="189" spans="1:8" ht="15">
      <c r="A189" s="2" t="s">
        <v>12</v>
      </c>
      <c r="B189" s="8">
        <f t="shared" si="49"/>
        <v>0</v>
      </c>
      <c r="C189" s="8">
        <f t="shared" si="49"/>
        <v>3893.203883495145</v>
      </c>
      <c r="D189" s="8">
        <f t="shared" si="49"/>
        <v>3614.384013573381</v>
      </c>
      <c r="E189" s="8">
        <f t="shared" si="49"/>
        <v>3356.5336996340347</v>
      </c>
      <c r="F189" s="8">
        <f t="shared" si="49"/>
        <v>3118.0442292584094</v>
      </c>
      <c r="G189" s="8">
        <f t="shared" si="49"/>
        <v>2897.431256304254</v>
      </c>
      <c r="H189" s="8">
        <f t="shared" si="49"/>
        <v>0</v>
      </c>
    </row>
    <row r="190" spans="1:8" ht="15">
      <c r="A190" s="2" t="s">
        <v>91</v>
      </c>
      <c r="B190" s="8">
        <f t="shared" si="49"/>
        <v>0</v>
      </c>
      <c r="C190" s="8">
        <f t="shared" si="49"/>
        <v>742.7184466019417</v>
      </c>
      <c r="D190" s="8">
        <f t="shared" si="49"/>
        <v>9.83298914300901</v>
      </c>
      <c r="E190" s="8">
        <f t="shared" si="49"/>
        <v>9.069261830930751</v>
      </c>
      <c r="F190" s="8">
        <f t="shared" si="49"/>
        <v>8.364853145032942</v>
      </c>
      <c r="G190" s="8">
        <f t="shared" si="49"/>
        <v>7.715155813380146</v>
      </c>
      <c r="H190" s="8">
        <f t="shared" si="49"/>
        <v>-488.6265348474</v>
      </c>
    </row>
    <row r="191" spans="1:8" ht="15">
      <c r="A191" s="2" t="s">
        <v>99</v>
      </c>
      <c r="B191" s="8">
        <f aca="true" t="shared" si="50" ref="B191:H191">B167/B$46</f>
        <v>0</v>
      </c>
      <c r="C191" s="8">
        <f t="shared" si="50"/>
        <v>0</v>
      </c>
      <c r="D191" s="8">
        <f t="shared" si="50"/>
        <v>0</v>
      </c>
      <c r="E191" s="8">
        <f t="shared" si="50"/>
        <v>0</v>
      </c>
      <c r="F191" s="8">
        <f t="shared" si="50"/>
        <v>0</v>
      </c>
      <c r="G191" s="8">
        <f t="shared" si="50"/>
        <v>0</v>
      </c>
      <c r="H191" s="8">
        <f t="shared" si="50"/>
        <v>1004.9811080203852</v>
      </c>
    </row>
    <row r="192" spans="1:8" ht="15">
      <c r="A192" s="2" t="s">
        <v>63</v>
      </c>
      <c r="B192" s="8">
        <f aca="true" t="shared" si="51" ref="B192:H192">B168/B$46</f>
        <v>0</v>
      </c>
      <c r="C192" s="8">
        <f t="shared" si="51"/>
        <v>1084.78382713283</v>
      </c>
      <c r="D192" s="8">
        <f t="shared" si="51"/>
        <v>986.1671155752999</v>
      </c>
      <c r="E192" s="8">
        <f t="shared" si="51"/>
        <v>896.515559613909</v>
      </c>
      <c r="F192" s="8">
        <f t="shared" si="51"/>
        <v>815.0141451035536</v>
      </c>
      <c r="G192" s="8">
        <f t="shared" si="51"/>
        <v>740.9219500941396</v>
      </c>
      <c r="H192" s="8">
        <f t="shared" si="51"/>
        <v>0</v>
      </c>
    </row>
    <row r="193" spans="1:8" ht="15">
      <c r="A193" s="15" t="s">
        <v>26</v>
      </c>
      <c r="B193" s="26">
        <f>SUM(B188:B192)</f>
        <v>8000</v>
      </c>
      <c r="C193" s="26">
        <f aca="true" t="shared" si="52" ref="C193:H193">SUM(C188:C192)</f>
        <v>5720.706157229916</v>
      </c>
      <c r="D193" s="26">
        <f t="shared" si="52"/>
        <v>4610.384118291689</v>
      </c>
      <c r="E193" s="26">
        <f t="shared" si="52"/>
        <v>4262.118521078874</v>
      </c>
      <c r="F193" s="26">
        <f t="shared" si="52"/>
        <v>3941.423227506996</v>
      </c>
      <c r="G193" s="26">
        <f t="shared" si="52"/>
        <v>3646.0683622117735</v>
      </c>
      <c r="H193" s="26">
        <f t="shared" si="52"/>
        <v>516.3545731729853</v>
      </c>
    </row>
    <row r="194" spans="1:8" ht="15">
      <c r="A194" s="2" t="s">
        <v>42</v>
      </c>
      <c r="B194" s="30">
        <f>B186-B193</f>
        <v>-4000</v>
      </c>
      <c r="C194" s="30">
        <f aca="true" t="shared" si="53" ref="C194:H194">C186-C193</f>
        <v>4327.8375320904715</v>
      </c>
      <c r="D194" s="30">
        <f t="shared" si="53"/>
        <v>3466.16323858369</v>
      </c>
      <c r="E194" s="30">
        <f t="shared" si="53"/>
        <v>3187.1241867188073</v>
      </c>
      <c r="F194" s="30">
        <f t="shared" si="53"/>
        <v>2929.237522403486</v>
      </c>
      <c r="G194" s="30">
        <f t="shared" si="53"/>
        <v>2690.948834307603</v>
      </c>
      <c r="H194" s="30">
        <f t="shared" si="53"/>
        <v>1971.3003332426908</v>
      </c>
    </row>
    <row r="195" spans="1:8" ht="15">
      <c r="A195" s="2" t="s">
        <v>27</v>
      </c>
      <c r="B195" s="30">
        <f>B171/B46</f>
        <v>0</v>
      </c>
      <c r="C195" s="30">
        <f aca="true" t="shared" si="54" ref="C195:H195">C171/C46</f>
        <v>892.983230361871</v>
      </c>
      <c r="D195" s="30">
        <f t="shared" si="54"/>
        <v>840.332779544707</v>
      </c>
      <c r="E195" s="30">
        <f t="shared" si="54"/>
        <v>792.1526403002066</v>
      </c>
      <c r="F195" s="30">
        <f t="shared" si="54"/>
        <v>748.1744725709401</v>
      </c>
      <c r="G195" s="30">
        <f t="shared" si="54"/>
        <v>708.1479768575294</v>
      </c>
      <c r="H195" s="30">
        <f t="shared" si="54"/>
        <v>0</v>
      </c>
    </row>
    <row r="196" spans="1:8" ht="15">
      <c r="A196" s="19" t="s">
        <v>43</v>
      </c>
      <c r="B196" s="23">
        <f>B194-B195</f>
        <v>-4000</v>
      </c>
      <c r="C196" s="23">
        <f aca="true" t="shared" si="55" ref="C196:H196">C194-C195</f>
        <v>3434.8543017286006</v>
      </c>
      <c r="D196" s="23">
        <f t="shared" si="55"/>
        <v>2625.830459038983</v>
      </c>
      <c r="E196" s="23">
        <f t="shared" si="55"/>
        <v>2394.9715464186006</v>
      </c>
      <c r="F196" s="23">
        <f t="shared" si="55"/>
        <v>2181.063049832546</v>
      </c>
      <c r="G196" s="23">
        <f t="shared" si="55"/>
        <v>1982.8008574500736</v>
      </c>
      <c r="H196" s="23">
        <f t="shared" si="55"/>
        <v>1971.3003332426908</v>
      </c>
    </row>
    <row r="197" spans="1:3" ht="16.5">
      <c r="A197" s="2" t="s">
        <v>108</v>
      </c>
      <c r="B197" s="43">
        <f>(1+B38)/(1+B3)-1</f>
        <v>0.09090909090909083</v>
      </c>
      <c r="C197" s="3"/>
    </row>
    <row r="198" spans="1:3" s="1" customFormat="1" ht="15">
      <c r="A198" s="1" t="s">
        <v>106</v>
      </c>
      <c r="B198" s="41">
        <f>NPV(B197,C196:H196)+B196</f>
        <v>7192.638466979419</v>
      </c>
      <c r="C198" s="44"/>
    </row>
    <row r="199" spans="1:3" s="1" customFormat="1" ht="15">
      <c r="A199" s="1" t="s">
        <v>28</v>
      </c>
      <c r="B199" s="42">
        <f>IRR(B196:H196)</f>
        <v>0.6777697992118317</v>
      </c>
      <c r="C199" s="44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</sheetData>
  <sheetProtection/>
  <printOptions gridLines="1" headings="1" horizontalCentered="1"/>
  <pageMargins left="0.2" right="0.2" top="0.24" bottom="0.23" header="0.2" footer="0.2"/>
  <pageSetup blackAndWhite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Fulbright Economics Teaching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Tan Binh</dc:creator>
  <cp:keywords/>
  <dc:description/>
  <cp:lastModifiedBy>Huynh Thanh Dien</cp:lastModifiedBy>
  <cp:lastPrinted>2013-07-26T08:12:10Z</cp:lastPrinted>
  <dcterms:created xsi:type="dcterms:W3CDTF">1999-04-20T14:09:54Z</dcterms:created>
  <dcterms:modified xsi:type="dcterms:W3CDTF">2019-10-11T07:01:21Z</dcterms:modified>
  <cp:category/>
  <cp:version/>
  <cp:contentType/>
  <cp:contentStatus/>
</cp:coreProperties>
</file>