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624"/>
  <workbookPr showInkAnnotation="0" autoCompressPictures="0"/>
  <bookViews>
    <workbookView xWindow="0" yWindow="0" windowWidth="25600" windowHeight="13620" tabRatio="500"/>
  </bookViews>
  <sheets>
    <sheet name="Du an" sheetId="4" r:id="rId1"/>
    <sheet name="Scenario Summary" sheetId="5" r:id="rId2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41" i="4" l="1"/>
  <c r="D18" i="4"/>
  <c r="D19" i="4"/>
  <c r="D20" i="4"/>
  <c r="D23" i="4"/>
  <c r="D53" i="4"/>
  <c r="C133" i="4"/>
  <c r="D51" i="4"/>
  <c r="C134" i="4"/>
  <c r="C55" i="4"/>
  <c r="D55" i="4"/>
  <c r="C131" i="4"/>
  <c r="B4" i="4"/>
  <c r="B3" i="4"/>
  <c r="B48" i="4"/>
  <c r="C43" i="4"/>
  <c r="C46" i="4"/>
  <c r="C48" i="4"/>
  <c r="D43" i="4"/>
  <c r="D44" i="4"/>
  <c r="D47" i="4"/>
  <c r="D57" i="4"/>
  <c r="C132" i="4"/>
  <c r="C129" i="4"/>
  <c r="C135" i="4"/>
  <c r="C136" i="4"/>
  <c r="E18" i="4"/>
  <c r="E19" i="4"/>
  <c r="E20" i="4"/>
  <c r="E23" i="4"/>
  <c r="E53" i="4"/>
  <c r="D133" i="4"/>
  <c r="E51" i="4"/>
  <c r="D134" i="4"/>
  <c r="E55" i="4"/>
  <c r="D131" i="4"/>
  <c r="D46" i="4"/>
  <c r="D48" i="4"/>
  <c r="E43" i="4"/>
  <c r="E44" i="4"/>
  <c r="E47" i="4"/>
  <c r="E57" i="4"/>
  <c r="D132" i="4"/>
  <c r="D129" i="4"/>
  <c r="D135" i="4"/>
  <c r="D136" i="4"/>
  <c r="C20" i="4"/>
  <c r="C23" i="4"/>
  <c r="C53" i="4"/>
  <c r="B133" i="4"/>
  <c r="C51" i="4"/>
  <c r="B134" i="4"/>
  <c r="B131" i="4"/>
  <c r="C44" i="4"/>
  <c r="C47" i="4"/>
  <c r="C57" i="4"/>
  <c r="B132" i="4"/>
  <c r="B129" i="4"/>
  <c r="B135" i="4"/>
  <c r="B136" i="4"/>
  <c r="C130" i="4"/>
  <c r="D130" i="4"/>
  <c r="B130" i="4"/>
  <c r="C76" i="4"/>
  <c r="C65" i="4"/>
  <c r="C70" i="4"/>
  <c r="C77" i="4"/>
  <c r="C75" i="4"/>
  <c r="C52" i="4"/>
  <c r="C84" i="4"/>
  <c r="C66" i="4"/>
  <c r="C71" i="4"/>
  <c r="C85" i="4"/>
  <c r="C63" i="4"/>
  <c r="C68" i="4"/>
  <c r="C86" i="4"/>
  <c r="C64" i="4"/>
  <c r="C69" i="4"/>
  <c r="C87" i="4"/>
  <c r="C56" i="4"/>
  <c r="C58" i="4"/>
  <c r="C59" i="4"/>
  <c r="C89" i="4"/>
  <c r="C45" i="4"/>
  <c r="C88" i="4"/>
  <c r="C82" i="4"/>
  <c r="C90" i="4"/>
  <c r="D76" i="4"/>
  <c r="D65" i="4"/>
  <c r="D70" i="4"/>
  <c r="D77" i="4"/>
  <c r="D75" i="4"/>
  <c r="D52" i="4"/>
  <c r="D84" i="4"/>
  <c r="D66" i="4"/>
  <c r="D71" i="4"/>
  <c r="D85" i="4"/>
  <c r="D63" i="4"/>
  <c r="D68" i="4"/>
  <c r="D86" i="4"/>
  <c r="D64" i="4"/>
  <c r="D69" i="4"/>
  <c r="D87" i="4"/>
  <c r="D56" i="4"/>
  <c r="D58" i="4"/>
  <c r="D59" i="4"/>
  <c r="D89" i="4"/>
  <c r="D45" i="4"/>
  <c r="D88" i="4"/>
  <c r="D82" i="4"/>
  <c r="D90" i="4"/>
  <c r="E76" i="4"/>
  <c r="E65" i="4"/>
  <c r="E70" i="4"/>
  <c r="E77" i="4"/>
  <c r="E75" i="4"/>
  <c r="E52" i="4"/>
  <c r="E84" i="4"/>
  <c r="E66" i="4"/>
  <c r="E71" i="4"/>
  <c r="E85" i="4"/>
  <c r="E63" i="4"/>
  <c r="E68" i="4"/>
  <c r="E86" i="4"/>
  <c r="E64" i="4"/>
  <c r="E69" i="4"/>
  <c r="E87" i="4"/>
  <c r="E56" i="4"/>
  <c r="E58" i="4"/>
  <c r="E59" i="4"/>
  <c r="E89" i="4"/>
  <c r="E46" i="4"/>
  <c r="E45" i="4"/>
  <c r="E88" i="4"/>
  <c r="E82" i="4"/>
  <c r="E90" i="4"/>
  <c r="F70" i="4"/>
  <c r="F77" i="4"/>
  <c r="F75" i="4"/>
  <c r="F71" i="4"/>
  <c r="F85" i="4"/>
  <c r="F68" i="4"/>
  <c r="F86" i="4"/>
  <c r="F69" i="4"/>
  <c r="F87" i="4"/>
  <c r="F82" i="4"/>
  <c r="F90" i="4"/>
  <c r="B78" i="4"/>
  <c r="B75" i="4"/>
  <c r="B83" i="4"/>
  <c r="B82" i="4"/>
  <c r="B90" i="4"/>
  <c r="B102" i="4"/>
  <c r="B117" i="4"/>
  <c r="B123" i="4"/>
  <c r="B124" i="4"/>
  <c r="B125" i="4"/>
  <c r="B122" i="4"/>
  <c r="B119" i="4"/>
  <c r="B118" i="4"/>
  <c r="B120" i="4"/>
  <c r="G117" i="4"/>
  <c r="H117" i="4"/>
  <c r="E117" i="4"/>
  <c r="D117" i="4"/>
  <c r="C117" i="4"/>
  <c r="B101" i="4"/>
  <c r="B107" i="4"/>
  <c r="B112" i="4"/>
  <c r="B113" i="4"/>
  <c r="B114" i="4"/>
  <c r="B115" i="4"/>
  <c r="B111" i="4"/>
  <c r="B108" i="4"/>
  <c r="B109" i="4"/>
  <c r="E107" i="4"/>
  <c r="G107" i="4"/>
  <c r="H107" i="4"/>
  <c r="D107" i="4"/>
  <c r="C107" i="4"/>
  <c r="C92" i="4"/>
  <c r="B92" i="4"/>
  <c r="B93" i="4"/>
  <c r="C93" i="4"/>
  <c r="D92" i="4"/>
  <c r="D93" i="4"/>
  <c r="C99" i="4"/>
  <c r="E92" i="4"/>
  <c r="E93" i="4"/>
  <c r="D99" i="4"/>
  <c r="F92" i="4"/>
  <c r="F93" i="4"/>
  <c r="E99" i="4"/>
  <c r="F99" i="4"/>
  <c r="C104" i="4"/>
  <c r="C98" i="4"/>
  <c r="D98" i="4"/>
  <c r="E98" i="4"/>
  <c r="F98" i="4"/>
  <c r="B104" i="4"/>
  <c r="B91" i="4"/>
  <c r="C91" i="4"/>
  <c r="D91" i="4"/>
  <c r="C96" i="4"/>
  <c r="E91" i="4"/>
  <c r="D96" i="4"/>
  <c r="F91" i="4"/>
  <c r="E96" i="4"/>
  <c r="F96" i="4"/>
  <c r="C103" i="4"/>
  <c r="C95" i="4"/>
  <c r="D95" i="4"/>
  <c r="E95" i="4"/>
  <c r="F95" i="4"/>
  <c r="B103" i="4"/>
  <c r="F89" i="4"/>
  <c r="F88" i="4"/>
  <c r="F84" i="4"/>
  <c r="F80" i="4"/>
  <c r="F81" i="4"/>
  <c r="F79" i="4"/>
  <c r="F76" i="4"/>
  <c r="D72" i="4"/>
  <c r="E72" i="4"/>
  <c r="F72" i="4"/>
  <c r="C72" i="4"/>
  <c r="D67" i="4"/>
  <c r="E67" i="4"/>
  <c r="C67" i="4"/>
  <c r="D60" i="4"/>
  <c r="E60" i="4"/>
  <c r="C60" i="4"/>
  <c r="D54" i="4"/>
  <c r="E54" i="4"/>
  <c r="C54" i="4"/>
  <c r="E48" i="4"/>
  <c r="C39" i="4"/>
  <c r="B38" i="4"/>
  <c r="B34" i="4"/>
  <c r="B32" i="4"/>
  <c r="D25" i="4"/>
  <c r="E25" i="4"/>
  <c r="C25" i="4"/>
  <c r="E24" i="4"/>
  <c r="D24" i="4"/>
  <c r="C24" i="4"/>
  <c r="C12" i="4"/>
  <c r="B5" i="4"/>
</calcChain>
</file>

<file path=xl/sharedStrings.xml><?xml version="1.0" encoding="utf-8"?>
<sst xmlns="http://schemas.openxmlformats.org/spreadsheetml/2006/main" count="168" uniqueCount="132">
  <si>
    <t>Năm</t>
  </si>
  <si>
    <t>PP chưa chiết khấu</t>
  </si>
  <si>
    <t>Số tháng</t>
  </si>
  <si>
    <t>Số năm</t>
  </si>
  <si>
    <t>Hiện giá dòng tiền: NCFt/(1+r)^t</t>
  </si>
  <si>
    <t>PP có chiết khấu</t>
  </si>
  <si>
    <t>Giá bán</t>
  </si>
  <si>
    <t>Định phí</t>
  </si>
  <si>
    <t>Biến phí</t>
  </si>
  <si>
    <t>Nợ đầu kỳ</t>
  </si>
  <si>
    <t>Lãi phát sinh</t>
  </si>
  <si>
    <t>Nợ cuối năm</t>
  </si>
  <si>
    <t>tr</t>
  </si>
  <si>
    <t>DỰ ÁN ĐẦU TƯ QUÁN CAFE</t>
  </si>
  <si>
    <t>I. THÔNG SỐ</t>
  </si>
  <si>
    <t>1. Chi phí đầu tư ban đầu</t>
  </si>
  <si>
    <t>a. CP cố định</t>
  </si>
  <si>
    <t>Đất/đặt cọc</t>
  </si>
  <si>
    <t>Xây dựng</t>
  </si>
  <si>
    <t>Thiết bị</t>
  </si>
  <si>
    <t>b. Vốn lưu động</t>
  </si>
  <si>
    <t>2. Nguồn vốn</t>
  </si>
  <si>
    <t>Vốn CSH</t>
  </si>
  <si>
    <t>CP đầu tư</t>
  </si>
  <si>
    <t>Lãi kỳ vọng vốn chủ</t>
  </si>
  <si>
    <t>Vốn vay</t>
  </si>
  <si>
    <t>Lãi vay</t>
  </si>
  <si>
    <t>3. Thời gian khấu hao</t>
  </si>
  <si>
    <t>năm</t>
  </si>
  <si>
    <t>4. Dòng đời dự án</t>
  </si>
  <si>
    <t>5. Doanh thu</t>
  </si>
  <si>
    <t>Sản lượng (ly/ngày)</t>
  </si>
  <si>
    <t>Doanh thu (tr/năm)</t>
  </si>
  <si>
    <t>6. Chi phí hoạt động (chưa có KH và lãi vay)</t>
  </si>
  <si>
    <t xml:space="preserve">Tổng CP </t>
  </si>
  <si>
    <t>7. Vốn lưu động</t>
  </si>
  <si>
    <t>DT</t>
  </si>
  <si>
    <t>CPHĐ</t>
  </si>
  <si>
    <t>Tiền mặt (CB)</t>
  </si>
  <si>
    <t>Tồn kho (AI)</t>
  </si>
  <si>
    <t>Phải thu (AR)</t>
  </si>
  <si>
    <t>Phải trả (AP)</t>
  </si>
  <si>
    <t>8. Giá trị thu hồi</t>
  </si>
  <si>
    <t>Đặt cọc</t>
  </si>
  <si>
    <t>Thanh lý TSCĐ sau thuế</t>
  </si>
  <si>
    <t>Vốn lưu động</t>
  </si>
  <si>
    <t>9. Thuế TNDN</t>
  </si>
  <si>
    <t>10. Suất chiết khấu ( r)</t>
  </si>
  <si>
    <t>TIPV: r=lãi kỳ vọng vốn chủ*tỷ trọng vốn chủ + lãi vay*tỷ trọng vốn vay</t>
  </si>
  <si>
    <t>EPV: r=lãi kỳ vọng vốn chủ=</t>
  </si>
  <si>
    <t>II. KẾ HOẠCH TÀI CHÍNH</t>
  </si>
  <si>
    <t>1. Kế hoạch vay và trả nợ</t>
  </si>
  <si>
    <t xml:space="preserve">Trả nợ: </t>
  </si>
  <si>
    <t xml:space="preserve">  + Trả gốc</t>
  </si>
  <si>
    <t xml:space="preserve">  + Trả lãi</t>
  </si>
  <si>
    <t>2. Kế hoạch thu nhập</t>
  </si>
  <si>
    <t>KH</t>
  </si>
  <si>
    <t xml:space="preserve">Doanh thu  </t>
  </si>
  <si>
    <t>S</t>
  </si>
  <si>
    <t>(-) CP hoạt động: trong đó:</t>
  </si>
  <si>
    <t>(-) Khấu hao</t>
  </si>
  <si>
    <t>O=V+F</t>
  </si>
  <si>
    <t>V</t>
  </si>
  <si>
    <t>F</t>
  </si>
  <si>
    <t>De</t>
  </si>
  <si>
    <t>LN trước thuế và lãi vay</t>
  </si>
  <si>
    <t>EBIT=S-O-De</t>
  </si>
  <si>
    <t>(-) Lãi vay</t>
  </si>
  <si>
    <t>I</t>
  </si>
  <si>
    <t xml:space="preserve">LN trước thuế   </t>
  </si>
  <si>
    <t>EBT=EBIT-I</t>
  </si>
  <si>
    <t>(-) Thuế TNDN</t>
  </si>
  <si>
    <t>T=EBT*t</t>
  </si>
  <si>
    <t>LN sau thuế</t>
  </si>
  <si>
    <t>EAT=EBT-T</t>
  </si>
  <si>
    <t>3. Kế hoạch vốn lưu động</t>
  </si>
  <si>
    <t>VLĐ=CB+AI+AR-AP</t>
  </si>
  <si>
    <t>Thay đổi CB (dCB)</t>
  </si>
  <si>
    <t>Thay đổi AI (dAI)</t>
  </si>
  <si>
    <t>Thay đổi AR (dAR)</t>
  </si>
  <si>
    <t>Thay đổi AP (dAP)</t>
  </si>
  <si>
    <t>VLĐ=dCB+dAI+dAR-dAP</t>
  </si>
  <si>
    <t>4. Dòng tiền</t>
  </si>
  <si>
    <t>Dòng tiền vào (Bt)</t>
  </si>
  <si>
    <t xml:space="preserve">  Doanh thu</t>
  </si>
  <si>
    <t xml:space="preserve"> (-) dAR</t>
  </si>
  <si>
    <t xml:space="preserve"> Vốn vay</t>
  </si>
  <si>
    <t xml:space="preserve"> Đặt cọc</t>
  </si>
  <si>
    <t xml:space="preserve"> Thanh lý TSCĐ sau thuế</t>
  </si>
  <si>
    <t xml:space="preserve"> Vốn lưu động</t>
  </si>
  <si>
    <t>Dòng tiền ra (Ct)</t>
  </si>
  <si>
    <t xml:space="preserve"> CP đầu tư ban đầu</t>
  </si>
  <si>
    <t xml:space="preserve"> CP hoạt động</t>
  </si>
  <si>
    <t xml:space="preserve"> (-)dAP</t>
  </si>
  <si>
    <t xml:space="preserve"> dCB</t>
  </si>
  <si>
    <t xml:space="preserve"> dAI</t>
  </si>
  <si>
    <t xml:space="preserve"> Trả nợ</t>
  </si>
  <si>
    <t xml:space="preserve"> Thuế TNDN</t>
  </si>
  <si>
    <t>Dòng tiền ròng (NCFt=Bt-Ct)</t>
  </si>
  <si>
    <t>EPV</t>
  </si>
  <si>
    <t>NPV</t>
  </si>
  <si>
    <t>IRR</t>
  </si>
  <si>
    <t>Luỹ kế</t>
  </si>
  <si>
    <t>Thời gian hoàn vốn chưa CK</t>
  </si>
  <si>
    <t>Thời gian hoàn vốn có CK</t>
  </si>
  <si>
    <t>III. HIỆU QUẢ TÀI CHÍNH</t>
  </si>
  <si>
    <t>IV. PHÂN TÍCH ĐỘ NHẠY</t>
  </si>
  <si>
    <t>1. Thay đổi NPV khi  sản lường và biến phí thay đổi</t>
  </si>
  <si>
    <t>2. Thay đổi IRR khi giá bán và biến phí thay đổi</t>
  </si>
  <si>
    <t>Tình huống 1</t>
  </si>
  <si>
    <t>Created by Huynh Thanh Dien on 10/16/2019</t>
  </si>
  <si>
    <t>Tình huống 2</t>
  </si>
  <si>
    <t>Nội dung thay đổi</t>
  </si>
  <si>
    <t>Sản lượng</t>
  </si>
  <si>
    <t xml:space="preserve">Biến phí </t>
  </si>
  <si>
    <t>PP chưa CK</t>
  </si>
  <si>
    <t>PP có CK</t>
  </si>
  <si>
    <t>PHÂN TÍCH TÌNH HUỐNG</t>
  </si>
  <si>
    <t>Giả định ban đầu</t>
  </si>
  <si>
    <t>Chỉ tiêu hiệu quả</t>
  </si>
  <si>
    <t>V. PHÂN TÍCH ĐIỂM HOÀ VỐN</t>
  </si>
  <si>
    <t>1. Phân tích điểm hoà vốn theo quan điểm kế toán</t>
  </si>
  <si>
    <t>Doanh thu hoà vốn</t>
  </si>
  <si>
    <t>Định phí, trong đó:</t>
  </si>
  <si>
    <t xml:space="preserve"> + Định phí hoạt động</t>
  </si>
  <si>
    <t xml:space="preserve"> + Khấu hao</t>
  </si>
  <si>
    <t xml:space="preserve"> + Lãi vay</t>
  </si>
  <si>
    <t>Doanh thu kế hoạch</t>
  </si>
  <si>
    <t>Số ngày hoà vốn</t>
  </si>
  <si>
    <t>2. Phân tích sản lượng và doanh thu hoà vốn theo quan điểm kinh tế</t>
  </si>
  <si>
    <t>Sản lượng hoà vốn</t>
  </si>
  <si>
    <t>Hoà vốn: là sản lượng tại đó NPV=0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</si>
</sst>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64" formatCode="0\ &quot;năm&quot;"/>
    <numFmt numFmtId="166" formatCode="_-* #,##0_-;\-* #,##0_-;_-* &quot;-&quot;??_-;_-@_-"/>
    <numFmt numFmtId="167" formatCode="_-* #,##0.000_-;\-* #,##0.000_-;_-* &quot;-&quot;??_-;_-@_-"/>
    <numFmt numFmtId="168" formatCode="0\ &quot;tháng&quot;"/>
    <numFmt numFmtId="169" formatCode="0\ &quot;ngày&quot;"/>
  </numFmts>
  <fonts count="12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i/>
      <sz val="12"/>
      <color theme="1"/>
      <name val="Calibri"/>
      <scheme val="minor"/>
    </font>
    <font>
      <sz val="9"/>
      <color theme="1"/>
      <name val="Calibri"/>
      <scheme val="minor"/>
    </font>
    <font>
      <i/>
      <sz val="12"/>
      <color rgb="FFFF0000"/>
      <name val="Calibri"/>
      <scheme val="minor"/>
    </font>
    <font>
      <b/>
      <sz val="20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3">
    <xf numFmtId="0" fontId="0" fillId="0" borderId="0"/>
    <xf numFmtId="43" fontId="2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121">
    <xf numFmtId="0" fontId="0" fillId="0" borderId="0" xfId="0"/>
    <xf numFmtId="0" fontId="4" fillId="0" borderId="0" xfId="0" applyFont="1"/>
    <xf numFmtId="9" fontId="0" fillId="0" borderId="0" xfId="0" applyNumberFormat="1"/>
    <xf numFmtId="43" fontId="0" fillId="0" borderId="0" xfId="1" applyFont="1"/>
    <xf numFmtId="0" fontId="5" fillId="0" borderId="0" xfId="0" applyFont="1"/>
    <xf numFmtId="164" fontId="0" fillId="0" borderId="0" xfId="0" applyNumberFormat="1"/>
    <xf numFmtId="166" fontId="0" fillId="0" borderId="0" xfId="1" applyNumberFormat="1" applyFont="1"/>
    <xf numFmtId="166" fontId="0" fillId="0" borderId="0" xfId="0" applyNumberFormat="1" applyFont="1"/>
    <xf numFmtId="0" fontId="0" fillId="0" borderId="0" xfId="0" applyFont="1"/>
    <xf numFmtId="43" fontId="5" fillId="0" borderId="0" xfId="0" applyNumberFormat="1" applyFont="1"/>
    <xf numFmtId="43" fontId="5" fillId="0" borderId="0" xfId="1" applyFont="1"/>
    <xf numFmtId="9" fontId="3" fillId="0" borderId="0" xfId="0" applyNumberFormat="1" applyFont="1"/>
    <xf numFmtId="9" fontId="0" fillId="0" borderId="0" xfId="0" applyNumberFormat="1" applyFont="1"/>
    <xf numFmtId="9" fontId="4" fillId="0" borderId="0" xfId="0" applyNumberFormat="1" applyFont="1"/>
    <xf numFmtId="10" fontId="0" fillId="0" borderId="0" xfId="0" applyNumberFormat="1"/>
    <xf numFmtId="0" fontId="8" fillId="0" borderId="0" xfId="0" applyFont="1"/>
    <xf numFmtId="43" fontId="0" fillId="0" borderId="0" xfId="0" applyNumberFormat="1"/>
    <xf numFmtId="0" fontId="0" fillId="0" borderId="0" xfId="0" applyAlignment="1">
      <alignment horizontal="right"/>
    </xf>
    <xf numFmtId="166" fontId="0" fillId="0" borderId="0" xfId="0" applyNumberFormat="1"/>
    <xf numFmtId="0" fontId="5" fillId="0" borderId="0" xfId="0" applyFont="1" applyAlignment="1">
      <alignment horizontal="right"/>
    </xf>
    <xf numFmtId="166" fontId="5" fillId="0" borderId="0" xfId="0" applyNumberFormat="1" applyFont="1"/>
    <xf numFmtId="43" fontId="4" fillId="0" borderId="0" xfId="0" applyNumberFormat="1" applyFont="1"/>
    <xf numFmtId="0" fontId="3" fillId="0" borderId="0" xfId="0" applyFont="1"/>
    <xf numFmtId="0" fontId="0" fillId="0" borderId="0" xfId="0" applyFill="1"/>
    <xf numFmtId="0" fontId="4" fillId="0" borderId="0" xfId="0" applyFont="1" applyFill="1"/>
    <xf numFmtId="0" fontId="0" fillId="3" borderId="0" xfId="0" applyFill="1"/>
    <xf numFmtId="9" fontId="0" fillId="3" borderId="0" xfId="0" applyNumberFormat="1" applyFill="1"/>
    <xf numFmtId="0" fontId="9" fillId="0" borderId="0" xfId="0" applyFont="1" applyAlignment="1">
      <alignment vertical="top" wrapText="1"/>
    </xf>
    <xf numFmtId="9" fontId="0" fillId="0" borderId="0" xfId="0" applyNumberFormat="1" applyAlignment="1">
      <alignment horizontal="right"/>
    </xf>
    <xf numFmtId="0" fontId="4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0" fontId="10" fillId="0" borderId="0" xfId="0" applyFont="1"/>
    <xf numFmtId="43" fontId="3" fillId="0" borderId="0" xfId="0" applyNumberFormat="1" applyFont="1"/>
    <xf numFmtId="0" fontId="5" fillId="0" borderId="0" xfId="0" applyFont="1" applyFill="1"/>
    <xf numFmtId="0" fontId="8" fillId="0" borderId="0" xfId="0" applyFont="1" applyFill="1"/>
    <xf numFmtId="0" fontId="4" fillId="0" borderId="1" xfId="0" applyFont="1" applyBorder="1"/>
    <xf numFmtId="0" fontId="0" fillId="0" borderId="2" xfId="0" applyBorder="1"/>
    <xf numFmtId="0" fontId="0" fillId="0" borderId="3" xfId="0" applyBorder="1"/>
    <xf numFmtId="0" fontId="0" fillId="0" borderId="4" xfId="0" applyFont="1" applyBorder="1"/>
    <xf numFmtId="9" fontId="0" fillId="0" borderId="0" xfId="0" applyNumberFormat="1" applyFont="1" applyBorder="1"/>
    <xf numFmtId="43" fontId="0" fillId="2" borderId="0" xfId="1" applyFont="1" applyFill="1" applyBorder="1"/>
    <xf numFmtId="43" fontId="0" fillId="0" borderId="0" xfId="1" applyFont="1" applyBorder="1"/>
    <xf numFmtId="43" fontId="0" fillId="0" borderId="5" xfId="1" applyFont="1" applyBorder="1"/>
    <xf numFmtId="0" fontId="0" fillId="2" borderId="0" xfId="0" applyFont="1" applyFill="1" applyBorder="1"/>
    <xf numFmtId="167" fontId="0" fillId="0" borderId="0" xfId="1" applyNumberFormat="1" applyFont="1" applyBorder="1"/>
    <xf numFmtId="167" fontId="0" fillId="0" borderId="5" xfId="1" applyNumberFormat="1" applyFont="1" applyBorder="1"/>
    <xf numFmtId="0" fontId="4" fillId="0" borderId="6" xfId="0" applyFont="1" applyBorder="1"/>
    <xf numFmtId="0" fontId="0" fillId="0" borderId="7" xfId="0" applyBorder="1"/>
    <xf numFmtId="166" fontId="0" fillId="0" borderId="7" xfId="1" applyNumberFormat="1" applyFont="1" applyBorder="1"/>
    <xf numFmtId="166" fontId="0" fillId="0" borderId="8" xfId="1" applyNumberFormat="1" applyFont="1" applyBorder="1"/>
    <xf numFmtId="0" fontId="4" fillId="0" borderId="10" xfId="0" applyFont="1" applyBorder="1"/>
    <xf numFmtId="0" fontId="0" fillId="0" borderId="11" xfId="0" applyBorder="1"/>
    <xf numFmtId="0" fontId="0" fillId="0" borderId="12" xfId="0" applyBorder="1"/>
    <xf numFmtId="0" fontId="0" fillId="0" borderId="13" xfId="0" applyFont="1" applyBorder="1"/>
    <xf numFmtId="9" fontId="0" fillId="2" borderId="0" xfId="0" applyNumberFormat="1" applyFont="1" applyFill="1" applyBorder="1"/>
    <xf numFmtId="166" fontId="0" fillId="0" borderId="0" xfId="0" applyNumberFormat="1" applyFont="1" applyBorder="1"/>
    <xf numFmtId="166" fontId="0" fillId="0" borderId="14" xfId="0" applyNumberFormat="1" applyFont="1" applyBorder="1"/>
    <xf numFmtId="0" fontId="0" fillId="0" borderId="0" xfId="0" applyFont="1" applyBorder="1"/>
    <xf numFmtId="0" fontId="0" fillId="0" borderId="14" xfId="0" applyFont="1" applyBorder="1"/>
    <xf numFmtId="0" fontId="4" fillId="0" borderId="15" xfId="0" applyFont="1" applyBorder="1"/>
    <xf numFmtId="0" fontId="4" fillId="0" borderId="16" xfId="0" applyFont="1" applyBorder="1"/>
    <xf numFmtId="166" fontId="4" fillId="0" borderId="16" xfId="0" applyNumberFormat="1" applyFont="1" applyBorder="1"/>
    <xf numFmtId="166" fontId="4" fillId="0" borderId="17" xfId="0" applyNumberFormat="1" applyFont="1" applyBorder="1"/>
    <xf numFmtId="0" fontId="8" fillId="0" borderId="18" xfId="0" applyFont="1" applyBorder="1"/>
    <xf numFmtId="43" fontId="0" fillId="0" borderId="7" xfId="1" applyFont="1" applyBorder="1"/>
    <xf numFmtId="166" fontId="8" fillId="0" borderId="18" xfId="1" applyNumberFormat="1" applyFont="1" applyBorder="1"/>
    <xf numFmtId="43" fontId="0" fillId="0" borderId="7" xfId="0" applyNumberFormat="1" applyBorder="1"/>
    <xf numFmtId="0" fontId="4" fillId="0" borderId="18" xfId="0" applyFont="1" applyBorder="1"/>
    <xf numFmtId="43" fontId="4" fillId="0" borderId="18" xfId="0" applyNumberFormat="1" applyFont="1" applyBorder="1"/>
    <xf numFmtId="0" fontId="5" fillId="0" borderId="18" xfId="0" applyFont="1" applyBorder="1"/>
    <xf numFmtId="0" fontId="5" fillId="0" borderId="11" xfId="0" applyFont="1" applyBorder="1"/>
    <xf numFmtId="43" fontId="4" fillId="0" borderId="18" xfId="1" applyFont="1" applyBorder="1"/>
    <xf numFmtId="0" fontId="4" fillId="0" borderId="11" xfId="0" applyFont="1" applyBorder="1"/>
    <xf numFmtId="43" fontId="4" fillId="0" borderId="19" xfId="1" applyFont="1" applyBorder="1"/>
    <xf numFmtId="166" fontId="4" fillId="2" borderId="18" xfId="0" applyNumberFormat="1" applyFont="1" applyFill="1" applyBorder="1"/>
    <xf numFmtId="0" fontId="5" fillId="0" borderId="16" xfId="0" applyFont="1" applyBorder="1"/>
    <xf numFmtId="43" fontId="5" fillId="0" borderId="16" xfId="0" applyNumberFormat="1" applyFont="1" applyBorder="1"/>
    <xf numFmtId="0" fontId="4" fillId="0" borderId="12" xfId="0" applyFont="1" applyBorder="1"/>
    <xf numFmtId="0" fontId="0" fillId="0" borderId="13" xfId="0" applyBorder="1"/>
    <xf numFmtId="0" fontId="0" fillId="0" borderId="0" xfId="0" applyBorder="1"/>
    <xf numFmtId="0" fontId="0" fillId="0" borderId="14" xfId="0" applyBorder="1"/>
    <xf numFmtId="0" fontId="4" fillId="0" borderId="13" xfId="0" applyFont="1" applyBorder="1"/>
    <xf numFmtId="0" fontId="4" fillId="0" borderId="0" xfId="0" applyFont="1" applyBorder="1"/>
    <xf numFmtId="0" fontId="4" fillId="0" borderId="14" xfId="0" applyFont="1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43" fontId="0" fillId="0" borderId="9" xfId="0" applyNumberFormat="1" applyBorder="1"/>
    <xf numFmtId="9" fontId="4" fillId="0" borderId="9" xfId="0" applyNumberFormat="1" applyFont="1" applyBorder="1"/>
    <xf numFmtId="9" fontId="4" fillId="2" borderId="9" xfId="0" applyNumberFormat="1" applyFont="1" applyFill="1" applyBorder="1"/>
    <xf numFmtId="0" fontId="4" fillId="0" borderId="9" xfId="0" applyFont="1" applyBorder="1"/>
    <xf numFmtId="43" fontId="0" fillId="0" borderId="9" xfId="1" applyFont="1" applyBorder="1"/>
    <xf numFmtId="0" fontId="4" fillId="2" borderId="9" xfId="0" applyFont="1" applyFill="1" applyBorder="1"/>
    <xf numFmtId="43" fontId="0" fillId="2" borderId="9" xfId="1" applyFont="1" applyFill="1" applyBorder="1"/>
    <xf numFmtId="9" fontId="0" fillId="0" borderId="9" xfId="0" applyNumberFormat="1" applyBorder="1"/>
    <xf numFmtId="10" fontId="0" fillId="0" borderId="9" xfId="4" applyNumberFormat="1" applyFont="1" applyBorder="1"/>
    <xf numFmtId="10" fontId="0" fillId="2" borderId="9" xfId="4" applyNumberFormat="1" applyFont="1" applyFill="1" applyBorder="1"/>
    <xf numFmtId="0" fontId="8" fillId="0" borderId="18" xfId="0" applyFont="1" applyFill="1" applyBorder="1"/>
    <xf numFmtId="0" fontId="5" fillId="0" borderId="7" xfId="0" applyFont="1" applyBorder="1"/>
    <xf numFmtId="169" fontId="0" fillId="0" borderId="7" xfId="0" applyNumberFormat="1" applyBorder="1"/>
    <xf numFmtId="0" fontId="0" fillId="0" borderId="1" xfId="0" applyBorder="1"/>
    <xf numFmtId="166" fontId="0" fillId="0" borderId="3" xfId="1" applyNumberFormat="1" applyFont="1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43" fontId="0" fillId="0" borderId="8" xfId="0" applyNumberFormat="1" applyBorder="1"/>
    <xf numFmtId="0" fontId="0" fillId="2" borderId="1" xfId="0" applyFill="1" applyBorder="1"/>
    <xf numFmtId="43" fontId="0" fillId="2" borderId="2" xfId="0" applyNumberFormat="1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0" xfId="0" applyFill="1" applyBorder="1"/>
    <xf numFmtId="0" fontId="0" fillId="2" borderId="5" xfId="0" applyFill="1" applyBorder="1"/>
    <xf numFmtId="164" fontId="0" fillId="2" borderId="0" xfId="0" applyNumberFormat="1" applyFill="1" applyBorder="1"/>
    <xf numFmtId="168" fontId="0" fillId="2" borderId="0" xfId="0" applyNumberFormat="1" applyFill="1" applyBorder="1"/>
    <xf numFmtId="0" fontId="0" fillId="2" borderId="6" xfId="0" applyFill="1" applyBorder="1"/>
    <xf numFmtId="164" fontId="0" fillId="2" borderId="7" xfId="0" applyNumberFormat="1" applyFill="1" applyBorder="1"/>
    <xf numFmtId="168" fontId="0" fillId="2" borderId="7" xfId="0" applyNumberFormat="1" applyFill="1" applyBorder="1"/>
    <xf numFmtId="0" fontId="0" fillId="2" borderId="8" xfId="0" applyFill="1" applyBorder="1"/>
    <xf numFmtId="10" fontId="0" fillId="2" borderId="0" xfId="0" applyNumberFormat="1" applyFill="1" applyBorder="1"/>
    <xf numFmtId="0" fontId="11" fillId="0" borderId="0" xfId="0" applyFont="1" applyAlignment="1">
      <alignment horizontal="center"/>
    </xf>
  </cellXfs>
  <cellStyles count="13">
    <cellStyle name="Comma" xfId="1" builtinId="3"/>
    <cellStyle name="Followed Hyperlink" xfId="3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Hyperlink" xfId="2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Normal" xfId="0" builtinId="0"/>
    <cellStyle name="Percent" xfId="4" builtinId="5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8548470375629"/>
          <c:y val="0.0967742124566172"/>
          <c:w val="0.766806828449723"/>
          <c:h val="0.714541277923698"/>
        </c:manualLayout>
      </c:layout>
      <c:lineChart>
        <c:grouping val="standard"/>
        <c:varyColors val="0"/>
        <c:ser>
          <c:idx val="0"/>
          <c:order val="0"/>
          <c:tx>
            <c:strRef>
              <c:f>'Du an'!$A$134</c:f>
              <c:strCache>
                <c:ptCount val="1"/>
                <c:pt idx="0">
                  <c:v>Doanh thu kế hoạch</c:v>
                </c:pt>
              </c:strCache>
            </c:strRef>
          </c:tx>
          <c:val>
            <c:numRef>
              <c:f>'Du an'!$B$134:$D$134</c:f>
              <c:numCache>
                <c:formatCode>_-* #,##0_-;\-* #,##0_-;_-* "-"??_-;_-@_-</c:formatCode>
                <c:ptCount val="3"/>
                <c:pt idx="0">
                  <c:v>810.0</c:v>
                </c:pt>
                <c:pt idx="1">
                  <c:v>935.55</c:v>
                </c:pt>
                <c:pt idx="2">
                  <c:v>1080.56025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'Du an'!$A$135</c:f>
              <c:strCache>
                <c:ptCount val="1"/>
                <c:pt idx="0">
                  <c:v>Doanh thu hoà vốn</c:v>
                </c:pt>
              </c:strCache>
            </c:strRef>
          </c:tx>
          <c:val>
            <c:numRef>
              <c:f>'Du an'!$B$135:$D$135</c:f>
              <c:numCache>
                <c:formatCode>_-* #,##0_-;\-* #,##0_-;_-* "-"??_-;_-@_-</c:formatCode>
                <c:ptCount val="3"/>
                <c:pt idx="0">
                  <c:v>891.3333333333332</c:v>
                </c:pt>
                <c:pt idx="1">
                  <c:v>888.6666666666667</c:v>
                </c:pt>
                <c:pt idx="2">
                  <c:v>886.0000000000001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123583608"/>
        <c:axId val="-2121868616"/>
      </c:lineChart>
      <c:catAx>
        <c:axId val="-2123583608"/>
        <c:scaling>
          <c:orientation val="minMax"/>
        </c:scaling>
        <c:delete val="0"/>
        <c:axPos val="b"/>
        <c:majorTickMark val="out"/>
        <c:minorTickMark val="none"/>
        <c:tickLblPos val="nextTo"/>
        <c:crossAx val="-2121868616"/>
        <c:crosses val="autoZero"/>
        <c:auto val="1"/>
        <c:lblAlgn val="ctr"/>
        <c:lblOffset val="100"/>
        <c:noMultiLvlLbl val="0"/>
      </c:catAx>
      <c:valAx>
        <c:axId val="-2121868616"/>
        <c:scaling>
          <c:orientation val="minMax"/>
        </c:scaling>
        <c:delete val="0"/>
        <c:axPos val="l"/>
        <c:majorGridlines/>
        <c:numFmt formatCode="_-* #,##0_-;\-* #,##0_-;_-* &quot;-&quot;??_-;_-@_-" sourceLinked="1"/>
        <c:majorTickMark val="out"/>
        <c:minorTickMark val="none"/>
        <c:tickLblPos val="nextTo"/>
        <c:crossAx val="-212358360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44535626694204"/>
          <c:y val="0.513653604590298"/>
          <c:w val="0.722677488059894"/>
          <c:h val="0.22579399108927"/>
        </c:manualLayout>
      </c:layout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110067</xdr:colOff>
      <xdr:row>127</xdr:row>
      <xdr:rowOff>8467</xdr:rowOff>
    </xdr:from>
    <xdr:to>
      <xdr:col>7</xdr:col>
      <xdr:colOff>821267</xdr:colOff>
      <xdr:row>136</xdr:row>
      <xdr:rowOff>21165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1"/>
  <sheetViews>
    <sheetView tabSelected="1" topLeftCell="A125" zoomScale="150" zoomScaleNormal="150" zoomScalePageLayoutView="150" workbookViewId="0">
      <selection activeCell="C140" sqref="C140"/>
    </sheetView>
  </sheetViews>
  <sheetFormatPr baseColWidth="10" defaultRowHeight="15" x14ac:dyDescent="0"/>
  <cols>
    <col min="1" max="1" width="28.1640625" customWidth="1"/>
  </cols>
  <sheetData>
    <row r="1" spans="1:6" ht="25">
      <c r="A1" s="120" t="s">
        <v>13</v>
      </c>
      <c r="B1" s="120"/>
      <c r="C1" s="120"/>
      <c r="D1" s="120"/>
      <c r="E1" s="120"/>
      <c r="F1" s="120"/>
    </row>
    <row r="2" spans="1:6" s="1" customFormat="1">
      <c r="A2" s="1" t="s">
        <v>14</v>
      </c>
    </row>
    <row r="3" spans="1:6" s="1" customFormat="1">
      <c r="A3" s="1" t="s">
        <v>15</v>
      </c>
      <c r="B3" s="1">
        <f>B4+B8</f>
        <v>240</v>
      </c>
      <c r="C3" s="1" t="s">
        <v>12</v>
      </c>
    </row>
    <row r="4" spans="1:6">
      <c r="A4" t="s">
        <v>16</v>
      </c>
      <c r="B4">
        <f>SUM(B5:B7)</f>
        <v>210</v>
      </c>
      <c r="C4" t="s">
        <v>12</v>
      </c>
    </row>
    <row r="5" spans="1:6">
      <c r="A5" t="s">
        <v>17</v>
      </c>
      <c r="B5">
        <f>20*3</f>
        <v>60</v>
      </c>
      <c r="C5" t="s">
        <v>12</v>
      </c>
    </row>
    <row r="6" spans="1:6">
      <c r="A6" t="s">
        <v>18</v>
      </c>
      <c r="B6">
        <v>50</v>
      </c>
      <c r="C6" t="s">
        <v>12</v>
      </c>
    </row>
    <row r="7" spans="1:6">
      <c r="A7" t="s">
        <v>19</v>
      </c>
      <c r="B7">
        <v>100</v>
      </c>
      <c r="C7" t="s">
        <v>12</v>
      </c>
    </row>
    <row r="8" spans="1:6">
      <c r="A8" t="s">
        <v>20</v>
      </c>
      <c r="B8">
        <v>30</v>
      </c>
      <c r="C8" t="s">
        <v>12</v>
      </c>
    </row>
    <row r="9" spans="1:6" s="1" customFormat="1">
      <c r="A9" s="1" t="s">
        <v>21</v>
      </c>
    </row>
    <row r="10" spans="1:6">
      <c r="A10" t="s">
        <v>22</v>
      </c>
      <c r="B10" s="2">
        <v>0.8</v>
      </c>
      <c r="C10" t="s">
        <v>23</v>
      </c>
    </row>
    <row r="11" spans="1:6">
      <c r="A11" t="s">
        <v>24</v>
      </c>
      <c r="B11" s="11">
        <v>0.16</v>
      </c>
    </row>
    <row r="12" spans="1:6">
      <c r="A12" t="s">
        <v>25</v>
      </c>
      <c r="B12" s="11">
        <v>0.2</v>
      </c>
      <c r="C12" t="str">
        <f>C10</f>
        <v>CP đầu tư</v>
      </c>
    </row>
    <row r="13" spans="1:6">
      <c r="A13" t="s">
        <v>26</v>
      </c>
      <c r="B13" s="11">
        <v>0.1</v>
      </c>
    </row>
    <row r="14" spans="1:6">
      <c r="A14" s="1" t="s">
        <v>27</v>
      </c>
      <c r="B14" s="3">
        <v>3</v>
      </c>
      <c r="C14" t="s">
        <v>28</v>
      </c>
    </row>
    <row r="15" spans="1:6">
      <c r="A15" s="1" t="s">
        <v>29</v>
      </c>
      <c r="B15" s="3">
        <v>3</v>
      </c>
      <c r="C15" t="s">
        <v>28</v>
      </c>
    </row>
    <row r="16" spans="1:6" ht="16" thickBot="1">
      <c r="A16" s="1" t="s">
        <v>30</v>
      </c>
    </row>
    <row r="17" spans="1:5">
      <c r="A17" s="35" t="s">
        <v>0</v>
      </c>
      <c r="B17" s="36"/>
      <c r="C17" s="36">
        <v>1</v>
      </c>
      <c r="D17" s="36">
        <v>2</v>
      </c>
      <c r="E17" s="37">
        <v>3</v>
      </c>
    </row>
    <row r="18" spans="1:5" s="8" customFormat="1">
      <c r="A18" s="38" t="s">
        <v>31</v>
      </c>
      <c r="B18" s="39">
        <v>0.1</v>
      </c>
      <c r="C18" s="40">
        <v>150</v>
      </c>
      <c r="D18" s="41">
        <f>C18*(1+$B$18)</f>
        <v>165</v>
      </c>
      <c r="E18" s="42">
        <f>D18*(1+$B$18)</f>
        <v>181.50000000000003</v>
      </c>
    </row>
    <row r="19" spans="1:5" s="8" customFormat="1">
      <c r="A19" s="38" t="s">
        <v>6</v>
      </c>
      <c r="B19" s="39">
        <v>0.05</v>
      </c>
      <c r="C19" s="43">
        <v>1.4999999999999999E-2</v>
      </c>
      <c r="D19" s="44">
        <f>C19*(1+$B$19)</f>
        <v>1.575E-2</v>
      </c>
      <c r="E19" s="45">
        <f>D19*(1+$B$19)</f>
        <v>1.65375E-2</v>
      </c>
    </row>
    <row r="20" spans="1:5" ht="16" thickBot="1">
      <c r="A20" s="46" t="s">
        <v>32</v>
      </c>
      <c r="B20" s="47"/>
      <c r="C20" s="48">
        <f>C18*C19*30*12</f>
        <v>810</v>
      </c>
      <c r="D20" s="48">
        <f t="shared" ref="D20:E20" si="0">D18*D19*30*12</f>
        <v>935.55</v>
      </c>
      <c r="E20" s="49">
        <f t="shared" si="0"/>
        <v>1080.5602500000002</v>
      </c>
    </row>
    <row r="21" spans="1:5">
      <c r="A21" s="1" t="s">
        <v>33</v>
      </c>
    </row>
    <row r="22" spans="1:5">
      <c r="A22" s="50" t="s">
        <v>0</v>
      </c>
      <c r="B22" s="51"/>
      <c r="C22" s="51">
        <v>1</v>
      </c>
      <c r="D22" s="51">
        <v>2</v>
      </c>
      <c r="E22" s="52">
        <v>3</v>
      </c>
    </row>
    <row r="23" spans="1:5" s="8" customFormat="1">
      <c r="A23" s="53" t="s">
        <v>8</v>
      </c>
      <c r="B23" s="54">
        <v>0.4</v>
      </c>
      <c r="C23" s="55">
        <f>$B$23*C20</f>
        <v>324</v>
      </c>
      <c r="D23" s="55">
        <f t="shared" ref="D23:E23" si="1">$B$23*D20</f>
        <v>374.22</v>
      </c>
      <c r="E23" s="56">
        <f t="shared" si="1"/>
        <v>432.22410000000013</v>
      </c>
    </row>
    <row r="24" spans="1:5" s="8" customFormat="1">
      <c r="A24" s="53" t="s">
        <v>7</v>
      </c>
      <c r="B24" s="57"/>
      <c r="C24" s="57">
        <f>(20+15+5)*12</f>
        <v>480</v>
      </c>
      <c r="D24" s="57">
        <f>C24</f>
        <v>480</v>
      </c>
      <c r="E24" s="58">
        <f>D24</f>
        <v>480</v>
      </c>
    </row>
    <row r="25" spans="1:5" s="1" customFormat="1">
      <c r="A25" s="59" t="s">
        <v>34</v>
      </c>
      <c r="B25" s="60"/>
      <c r="C25" s="61">
        <f>C23+C24</f>
        <v>804</v>
      </c>
      <c r="D25" s="61">
        <f t="shared" ref="D25:E25" si="2">D23+D24</f>
        <v>854.22</v>
      </c>
      <c r="E25" s="62">
        <f t="shared" si="2"/>
        <v>912.22410000000013</v>
      </c>
    </row>
    <row r="26" spans="1:5" s="1" customFormat="1">
      <c r="A26" s="1" t="s">
        <v>35</v>
      </c>
    </row>
    <row r="27" spans="1:5" s="8" customFormat="1">
      <c r="A27" s="8" t="s">
        <v>38</v>
      </c>
      <c r="B27" s="12">
        <v>0</v>
      </c>
      <c r="C27" s="8" t="s">
        <v>37</v>
      </c>
    </row>
    <row r="28" spans="1:5" s="8" customFormat="1">
      <c r="A28" s="8" t="s">
        <v>39</v>
      </c>
      <c r="B28" s="12">
        <v>0.1</v>
      </c>
      <c r="C28" s="8" t="s">
        <v>36</v>
      </c>
    </row>
    <row r="29" spans="1:5" s="8" customFormat="1">
      <c r="A29" s="8" t="s">
        <v>40</v>
      </c>
      <c r="B29" s="12">
        <v>0.05</v>
      </c>
      <c r="C29" s="8" t="s">
        <v>36</v>
      </c>
    </row>
    <row r="30" spans="1:5" s="8" customFormat="1">
      <c r="A30" s="8" t="s">
        <v>41</v>
      </c>
      <c r="B30" s="12">
        <v>0.1</v>
      </c>
      <c r="C30" s="8" t="s">
        <v>37</v>
      </c>
    </row>
    <row r="31" spans="1:5" s="1" customFormat="1">
      <c r="A31" s="1" t="s">
        <v>42</v>
      </c>
    </row>
    <row r="32" spans="1:5">
      <c r="A32" s="8" t="s">
        <v>43</v>
      </c>
      <c r="B32">
        <f>B5</f>
        <v>60</v>
      </c>
      <c r="C32" s="8" t="s">
        <v>12</v>
      </c>
    </row>
    <row r="33" spans="1:5">
      <c r="A33" s="8" t="s">
        <v>44</v>
      </c>
      <c r="B33" s="3">
        <v>5</v>
      </c>
      <c r="C33" s="8" t="s">
        <v>12</v>
      </c>
    </row>
    <row r="34" spans="1:5">
      <c r="A34" s="8" t="s">
        <v>45</v>
      </c>
      <c r="B34">
        <f>B8</f>
        <v>30</v>
      </c>
      <c r="C34" s="8" t="s">
        <v>12</v>
      </c>
    </row>
    <row r="35" spans="1:5" s="1" customFormat="1">
      <c r="A35" s="1" t="s">
        <v>46</v>
      </c>
      <c r="B35" s="13">
        <v>0.2</v>
      </c>
    </row>
    <row r="36" spans="1:5">
      <c r="A36" s="8" t="s">
        <v>47</v>
      </c>
    </row>
    <row r="37" spans="1:5">
      <c r="A37" s="8" t="s">
        <v>48</v>
      </c>
    </row>
    <row r="38" spans="1:5">
      <c r="B38" s="14">
        <f>B11*B10+B13*B12</f>
        <v>0.14800000000000002</v>
      </c>
    </row>
    <row r="39" spans="1:5">
      <c r="A39" t="s">
        <v>49</v>
      </c>
      <c r="C39" s="2">
        <f>B11</f>
        <v>0.16</v>
      </c>
    </row>
    <row r="40" spans="1:5" s="1" customFormat="1">
      <c r="A40" s="1" t="s">
        <v>50</v>
      </c>
    </row>
    <row r="41" spans="1:5" s="1" customFormat="1">
      <c r="A41" s="1" t="s">
        <v>51</v>
      </c>
    </row>
    <row r="42" spans="1:5" s="15" customFormat="1" ht="16" thickBot="1">
      <c r="A42" s="63" t="s">
        <v>0</v>
      </c>
      <c r="B42" s="63">
        <v>0</v>
      </c>
      <c r="C42" s="63">
        <v>1</v>
      </c>
      <c r="D42" s="63">
        <v>2</v>
      </c>
      <c r="E42" s="63">
        <v>3</v>
      </c>
    </row>
    <row r="43" spans="1:5">
      <c r="A43" t="s">
        <v>9</v>
      </c>
      <c r="C43" s="3">
        <f>B48</f>
        <v>48</v>
      </c>
      <c r="D43" s="3">
        <f t="shared" ref="D43:E43" si="3">C48</f>
        <v>32</v>
      </c>
      <c r="E43" s="3">
        <f t="shared" si="3"/>
        <v>16</v>
      </c>
    </row>
    <row r="44" spans="1:5">
      <c r="A44" t="s">
        <v>10</v>
      </c>
      <c r="C44" s="3">
        <f>C43*$B$13</f>
        <v>4.8000000000000007</v>
      </c>
      <c r="D44" s="3">
        <f t="shared" ref="D44:E44" si="4">D43*$B$13</f>
        <v>3.2</v>
      </c>
      <c r="E44" s="3">
        <f t="shared" si="4"/>
        <v>1.6</v>
      </c>
    </row>
    <row r="45" spans="1:5">
      <c r="A45" t="s">
        <v>52</v>
      </c>
      <c r="C45" s="3">
        <f>C46+C47</f>
        <v>20.8</v>
      </c>
      <c r="D45" s="3">
        <f t="shared" ref="D45:E45" si="5">D46+D47</f>
        <v>19.2</v>
      </c>
      <c r="E45" s="3">
        <f t="shared" si="5"/>
        <v>17.600000000000001</v>
      </c>
    </row>
    <row r="46" spans="1:5">
      <c r="A46" t="s">
        <v>53</v>
      </c>
      <c r="C46" s="3">
        <f>$C$43/3</f>
        <v>16</v>
      </c>
      <c r="D46" s="3">
        <f t="shared" ref="D46:E46" si="6">$C$43/3</f>
        <v>16</v>
      </c>
      <c r="E46" s="3">
        <f t="shared" si="6"/>
        <v>16</v>
      </c>
    </row>
    <row r="47" spans="1:5">
      <c r="A47" t="s">
        <v>54</v>
      </c>
      <c r="C47" s="3">
        <f>C44</f>
        <v>4.8000000000000007</v>
      </c>
      <c r="D47" s="3">
        <f t="shared" ref="D47:E47" si="7">D44</f>
        <v>3.2</v>
      </c>
      <c r="E47" s="3">
        <f t="shared" si="7"/>
        <v>1.6</v>
      </c>
    </row>
    <row r="48" spans="1:5" ht="16" thickBot="1">
      <c r="A48" s="47" t="s">
        <v>11</v>
      </c>
      <c r="B48" s="47">
        <f>B3*B12</f>
        <v>48</v>
      </c>
      <c r="C48" s="64">
        <f>C43-C46</f>
        <v>32</v>
      </c>
      <c r="D48" s="64">
        <f t="shared" ref="D48:E48" si="8">D43-D46</f>
        <v>16</v>
      </c>
      <c r="E48" s="64">
        <f t="shared" si="8"/>
        <v>0</v>
      </c>
    </row>
    <row r="49" spans="1:6" s="1" customFormat="1">
      <c r="A49" s="1" t="s">
        <v>55</v>
      </c>
    </row>
    <row r="50" spans="1:6" s="15" customFormat="1" ht="16" thickBot="1">
      <c r="A50" s="63" t="s">
        <v>0</v>
      </c>
      <c r="B50" s="63" t="s">
        <v>56</v>
      </c>
      <c r="C50" s="65">
        <v>1</v>
      </c>
      <c r="D50" s="65">
        <v>2</v>
      </c>
      <c r="E50" s="65">
        <v>3</v>
      </c>
    </row>
    <row r="51" spans="1:6">
      <c r="A51" t="s">
        <v>57</v>
      </c>
      <c r="B51" t="s">
        <v>58</v>
      </c>
      <c r="C51" s="6">
        <f>C20</f>
        <v>810</v>
      </c>
      <c r="D51" s="6">
        <f t="shared" ref="D51:E51" si="9">D20</f>
        <v>935.55</v>
      </c>
      <c r="E51" s="6">
        <f t="shared" si="9"/>
        <v>1080.5602500000002</v>
      </c>
    </row>
    <row r="52" spans="1:6">
      <c r="A52" t="s">
        <v>59</v>
      </c>
      <c r="B52" t="s">
        <v>61</v>
      </c>
      <c r="C52" s="18">
        <f>SUM(C53:C54)</f>
        <v>804</v>
      </c>
      <c r="D52" s="18">
        <f t="shared" ref="D52:E52" si="10">SUM(D53:D54)</f>
        <v>854.22</v>
      </c>
      <c r="E52" s="18">
        <f t="shared" si="10"/>
        <v>912.22410000000013</v>
      </c>
    </row>
    <row r="53" spans="1:6" s="4" customFormat="1">
      <c r="A53" s="19" t="s">
        <v>8</v>
      </c>
      <c r="B53" s="4" t="s">
        <v>62</v>
      </c>
      <c r="C53" s="20">
        <f>C23</f>
        <v>324</v>
      </c>
      <c r="D53" s="20">
        <f t="shared" ref="D53:E53" si="11">D23</f>
        <v>374.22</v>
      </c>
      <c r="E53" s="20">
        <f t="shared" si="11"/>
        <v>432.22410000000013</v>
      </c>
    </row>
    <row r="54" spans="1:6" s="31" customFormat="1">
      <c r="A54" s="30" t="s">
        <v>7</v>
      </c>
      <c r="B54" s="31" t="s">
        <v>63</v>
      </c>
      <c r="C54" s="31">
        <f>C24</f>
        <v>480</v>
      </c>
      <c r="D54" s="31">
        <f t="shared" ref="D54:E54" si="12">D24</f>
        <v>480</v>
      </c>
      <c r="E54" s="31">
        <f t="shared" si="12"/>
        <v>480</v>
      </c>
    </row>
    <row r="55" spans="1:6" s="22" customFormat="1">
      <c r="A55" s="22" t="s">
        <v>60</v>
      </c>
      <c r="B55" s="22" t="s">
        <v>64</v>
      </c>
      <c r="C55" s="22">
        <f>(B6+B7)/3</f>
        <v>50</v>
      </c>
      <c r="D55" s="22">
        <f>C55</f>
        <v>50</v>
      </c>
      <c r="E55" s="22">
        <f>D55</f>
        <v>50</v>
      </c>
    </row>
    <row r="56" spans="1:6">
      <c r="A56" t="s">
        <v>65</v>
      </c>
      <c r="B56" t="s">
        <v>66</v>
      </c>
      <c r="C56" s="18">
        <f>C51-C52-C55</f>
        <v>-44</v>
      </c>
      <c r="D56" s="18">
        <f t="shared" ref="D56:E56" si="13">D51-D52-D55</f>
        <v>31.329999999999927</v>
      </c>
      <c r="E56" s="18">
        <f t="shared" si="13"/>
        <v>118.33615000000009</v>
      </c>
    </row>
    <row r="57" spans="1:6" s="22" customFormat="1">
      <c r="A57" s="22" t="s">
        <v>67</v>
      </c>
      <c r="B57" s="22" t="s">
        <v>68</v>
      </c>
      <c r="C57" s="32">
        <f>C47</f>
        <v>4.8000000000000007</v>
      </c>
      <c r="D57" s="32">
        <f t="shared" ref="D57:E57" si="14">D47</f>
        <v>3.2</v>
      </c>
      <c r="E57" s="32">
        <f t="shared" si="14"/>
        <v>1.6</v>
      </c>
    </row>
    <row r="58" spans="1:6">
      <c r="A58" t="s">
        <v>69</v>
      </c>
      <c r="B58" t="s">
        <v>70</v>
      </c>
      <c r="C58" s="16">
        <f>C56-C57</f>
        <v>-48.8</v>
      </c>
      <c r="D58" s="16">
        <f t="shared" ref="D58:E58" si="15">D56-D57</f>
        <v>28.129999999999928</v>
      </c>
      <c r="E58" s="16">
        <f t="shared" si="15"/>
        <v>116.73615000000009</v>
      </c>
    </row>
    <row r="59" spans="1:6">
      <c r="A59" s="4" t="s">
        <v>71</v>
      </c>
      <c r="B59" s="4" t="s">
        <v>72</v>
      </c>
      <c r="C59" s="10">
        <f>IF(C58&gt;0,C58*20%,0)</f>
        <v>0</v>
      </c>
      <c r="D59" s="10">
        <f t="shared" ref="D59:E59" si="16">IF(D58&gt;0,D58*20%,0)</f>
        <v>5.6259999999999861</v>
      </c>
      <c r="E59" s="10">
        <f t="shared" si="16"/>
        <v>23.347230000000021</v>
      </c>
    </row>
    <row r="60" spans="1:6" ht="16" thickBot="1">
      <c r="A60" s="47" t="s">
        <v>73</v>
      </c>
      <c r="B60" s="47" t="s">
        <v>74</v>
      </c>
      <c r="C60" s="66">
        <f>C58-C59</f>
        <v>-48.8</v>
      </c>
      <c r="D60" s="66">
        <f t="shared" ref="D60:E60" si="17">D58-D59</f>
        <v>22.503999999999941</v>
      </c>
      <c r="E60" s="66">
        <f t="shared" si="17"/>
        <v>93.38892000000007</v>
      </c>
    </row>
    <row r="61" spans="1:6">
      <c r="A61" s="1" t="s">
        <v>75</v>
      </c>
    </row>
    <row r="62" spans="1:6" s="15" customFormat="1" ht="16" thickBot="1">
      <c r="A62" s="63" t="s">
        <v>0</v>
      </c>
      <c r="B62" s="63">
        <v>0</v>
      </c>
      <c r="C62" s="63">
        <v>1</v>
      </c>
      <c r="D62" s="63">
        <v>2</v>
      </c>
      <c r="E62" s="63">
        <v>3</v>
      </c>
      <c r="F62" s="63">
        <v>4</v>
      </c>
    </row>
    <row r="63" spans="1:6">
      <c r="A63" t="s">
        <v>38</v>
      </c>
      <c r="C63" s="18">
        <f>$B$27*C52</f>
        <v>0</v>
      </c>
      <c r="D63" s="18">
        <f t="shared" ref="D63:E63" si="18">$B$27*D52</f>
        <v>0</v>
      </c>
      <c r="E63" s="18">
        <f t="shared" si="18"/>
        <v>0</v>
      </c>
    </row>
    <row r="64" spans="1:6">
      <c r="A64" t="s">
        <v>39</v>
      </c>
      <c r="C64" s="18">
        <f>$B$28*C51</f>
        <v>81</v>
      </c>
      <c r="D64" s="18">
        <f t="shared" ref="D64:E64" si="19">$B$28*D51</f>
        <v>93.555000000000007</v>
      </c>
      <c r="E64" s="18">
        <f t="shared" si="19"/>
        <v>108.05602500000003</v>
      </c>
    </row>
    <row r="65" spans="1:6">
      <c r="A65" t="s">
        <v>40</v>
      </c>
      <c r="C65" s="16">
        <f>$B$29*C51</f>
        <v>40.5</v>
      </c>
      <c r="D65" s="16">
        <f t="shared" ref="D65:E65" si="20">$B$29*D51</f>
        <v>46.777500000000003</v>
      </c>
      <c r="E65" s="16">
        <f t="shared" si="20"/>
        <v>54.028012500000017</v>
      </c>
    </row>
    <row r="66" spans="1:6">
      <c r="A66" t="s">
        <v>41</v>
      </c>
      <c r="C66" s="16">
        <f>$B$30*C52</f>
        <v>80.400000000000006</v>
      </c>
      <c r="D66" s="16">
        <f t="shared" ref="D66:E66" si="21">$B$30*D52</f>
        <v>85.422000000000011</v>
      </c>
      <c r="E66" s="16">
        <f t="shared" si="21"/>
        <v>91.222410000000025</v>
      </c>
    </row>
    <row r="67" spans="1:6" s="1" customFormat="1">
      <c r="A67" s="1" t="s">
        <v>76</v>
      </c>
      <c r="C67" s="21">
        <f>C63+C64+C65-C66</f>
        <v>41.099999999999994</v>
      </c>
      <c r="D67" s="21">
        <f t="shared" ref="D67:E67" si="22">D63+D64+D65-D66</f>
        <v>54.910499999999999</v>
      </c>
      <c r="E67" s="21">
        <f t="shared" si="22"/>
        <v>70.861627500000026</v>
      </c>
    </row>
    <row r="68" spans="1:6">
      <c r="A68" t="s">
        <v>77</v>
      </c>
      <c r="C68" s="18">
        <f>C63-B63</f>
        <v>0</v>
      </c>
      <c r="D68" s="18">
        <f t="shared" ref="D68:F68" si="23">D63-C63</f>
        <v>0</v>
      </c>
      <c r="E68" s="18">
        <f t="shared" si="23"/>
        <v>0</v>
      </c>
      <c r="F68" s="18">
        <f t="shared" si="23"/>
        <v>0</v>
      </c>
    </row>
    <row r="69" spans="1:6">
      <c r="A69" t="s">
        <v>78</v>
      </c>
      <c r="C69" s="18">
        <f>C64-B64</f>
        <v>81</v>
      </c>
      <c r="D69" s="18">
        <f>D64-C64</f>
        <v>12.555000000000007</v>
      </c>
      <c r="E69" s="18">
        <f t="shared" ref="E69:F69" si="24">E64-D64</f>
        <v>14.501025000000027</v>
      </c>
      <c r="F69" s="18">
        <f t="shared" si="24"/>
        <v>-108.05602500000003</v>
      </c>
    </row>
    <row r="70" spans="1:6">
      <c r="A70" t="s">
        <v>79</v>
      </c>
      <c r="C70" s="16">
        <f>C65-B65</f>
        <v>40.5</v>
      </c>
      <c r="D70" s="16">
        <f t="shared" ref="D70:F70" si="25">D65-C65</f>
        <v>6.2775000000000034</v>
      </c>
      <c r="E70" s="16">
        <f t="shared" si="25"/>
        <v>7.2505125000000135</v>
      </c>
      <c r="F70" s="16">
        <f t="shared" si="25"/>
        <v>-54.028012500000017</v>
      </c>
    </row>
    <row r="71" spans="1:6">
      <c r="A71" t="s">
        <v>80</v>
      </c>
      <c r="C71" s="16">
        <f>C66-B66</f>
        <v>80.400000000000006</v>
      </c>
      <c r="D71" s="16">
        <f t="shared" ref="D71:F71" si="26">D66-C66</f>
        <v>5.0220000000000056</v>
      </c>
      <c r="E71" s="16">
        <f t="shared" si="26"/>
        <v>5.8004100000000136</v>
      </c>
      <c r="F71" s="16">
        <f t="shared" si="26"/>
        <v>-91.222410000000025</v>
      </c>
    </row>
    <row r="72" spans="1:6" ht="16" thickBot="1">
      <c r="A72" s="67" t="s">
        <v>81</v>
      </c>
      <c r="B72" s="67"/>
      <c r="C72" s="68">
        <f>C68+C69+C70-C71</f>
        <v>41.099999999999994</v>
      </c>
      <c r="D72" s="68">
        <f t="shared" ref="D72:F72" si="27">D68+D69+D70-D71</f>
        <v>13.810500000000005</v>
      </c>
      <c r="E72" s="68">
        <f t="shared" si="27"/>
        <v>15.951127500000027</v>
      </c>
      <c r="F72" s="68">
        <f t="shared" si="27"/>
        <v>-70.861627500000026</v>
      </c>
    </row>
    <row r="73" spans="1:6" s="1" customFormat="1">
      <c r="A73" s="1" t="s">
        <v>82</v>
      </c>
      <c r="B73" s="1" t="s">
        <v>99</v>
      </c>
      <c r="C73" s="21"/>
      <c r="D73" s="21"/>
      <c r="E73" s="21"/>
      <c r="F73" s="21"/>
    </row>
    <row r="74" spans="1:6" s="4" customFormat="1" ht="16" thickBot="1">
      <c r="A74" s="69" t="s">
        <v>0</v>
      </c>
      <c r="B74" s="70">
        <v>0</v>
      </c>
      <c r="C74" s="70">
        <v>1</v>
      </c>
      <c r="D74" s="70">
        <v>2</v>
      </c>
      <c r="E74" s="70">
        <v>3</v>
      </c>
      <c r="F74" s="70">
        <v>4</v>
      </c>
    </row>
    <row r="75" spans="1:6" s="1" customFormat="1" ht="16" thickBot="1">
      <c r="A75" s="1" t="s">
        <v>83</v>
      </c>
      <c r="B75" s="71">
        <f>SUM(B76:B81)</f>
        <v>48</v>
      </c>
      <c r="C75" s="71">
        <f t="shared" ref="C75:F75" si="28">SUM(C76:C81)</f>
        <v>769.5</v>
      </c>
      <c r="D75" s="71">
        <f t="shared" si="28"/>
        <v>929.27249999999992</v>
      </c>
      <c r="E75" s="71">
        <f t="shared" si="28"/>
        <v>1073.3097375000002</v>
      </c>
      <c r="F75" s="71">
        <f t="shared" si="28"/>
        <v>149.02801250000002</v>
      </c>
    </row>
    <row r="76" spans="1:6">
      <c r="A76" s="1" t="s">
        <v>84</v>
      </c>
      <c r="C76" s="18">
        <f>C51</f>
        <v>810</v>
      </c>
      <c r="D76" s="18">
        <f t="shared" ref="D76:F76" si="29">D51</f>
        <v>935.55</v>
      </c>
      <c r="E76" s="18">
        <f t="shared" si="29"/>
        <v>1080.5602500000002</v>
      </c>
      <c r="F76" s="18">
        <f t="shared" si="29"/>
        <v>0</v>
      </c>
    </row>
    <row r="77" spans="1:6">
      <c r="A77" s="1" t="s">
        <v>85</v>
      </c>
      <c r="C77" s="16">
        <f>-C70</f>
        <v>-40.5</v>
      </c>
      <c r="D77" s="16">
        <f t="shared" ref="D77:F77" si="30">-D70</f>
        <v>-6.2775000000000034</v>
      </c>
      <c r="E77" s="16">
        <f t="shared" si="30"/>
        <v>-7.2505125000000135</v>
      </c>
      <c r="F77" s="16">
        <f t="shared" si="30"/>
        <v>54.028012500000017</v>
      </c>
    </row>
    <row r="78" spans="1:6">
      <c r="A78" s="1" t="s">
        <v>86</v>
      </c>
      <c r="B78" s="22">
        <f>B48</f>
        <v>48</v>
      </c>
    </row>
    <row r="79" spans="1:6">
      <c r="A79" s="8" t="s">
        <v>87</v>
      </c>
      <c r="F79" s="22">
        <f>B32</f>
        <v>60</v>
      </c>
    </row>
    <row r="80" spans="1:6">
      <c r="A80" s="8" t="s">
        <v>88</v>
      </c>
      <c r="F80" s="22">
        <f t="shared" ref="F80:F81" si="31">B33</f>
        <v>5</v>
      </c>
    </row>
    <row r="81" spans="1:6">
      <c r="A81" s="8" t="s">
        <v>89</v>
      </c>
      <c r="F81" s="22">
        <f t="shared" si="31"/>
        <v>30</v>
      </c>
    </row>
    <row r="82" spans="1:6" s="1" customFormat="1">
      <c r="A82" s="72" t="s">
        <v>90</v>
      </c>
      <c r="B82" s="73">
        <f>SUM(B83:B89)</f>
        <v>240</v>
      </c>
      <c r="C82" s="73">
        <f t="shared" ref="C82:F82" si="32">SUM(C83:C89)</f>
        <v>825.4</v>
      </c>
      <c r="D82" s="73">
        <f t="shared" si="32"/>
        <v>886.57899999999995</v>
      </c>
      <c r="E82" s="73">
        <f t="shared" si="32"/>
        <v>961.8719450000001</v>
      </c>
      <c r="F82" s="73">
        <f t="shared" si="32"/>
        <v>-16.833615000000009</v>
      </c>
    </row>
    <row r="83" spans="1:6">
      <c r="A83" s="8" t="s">
        <v>91</v>
      </c>
      <c r="B83" s="22">
        <f>B3</f>
        <v>240</v>
      </c>
    </row>
    <row r="84" spans="1:6">
      <c r="A84" s="8" t="s">
        <v>92</v>
      </c>
      <c r="C84" s="18">
        <f>C52</f>
        <v>804</v>
      </c>
      <c r="D84" s="18">
        <f t="shared" ref="D84:F84" si="33">D52</f>
        <v>854.22</v>
      </c>
      <c r="E84" s="18">
        <f t="shared" si="33"/>
        <v>912.22410000000013</v>
      </c>
      <c r="F84" s="18">
        <f t="shared" si="33"/>
        <v>0</v>
      </c>
    </row>
    <row r="85" spans="1:6">
      <c r="A85" s="8" t="s">
        <v>93</v>
      </c>
      <c r="C85" s="16">
        <f>-C71</f>
        <v>-80.400000000000006</v>
      </c>
      <c r="D85" s="16">
        <f t="shared" ref="D85:F85" si="34">-D71</f>
        <v>-5.0220000000000056</v>
      </c>
      <c r="E85" s="16">
        <f t="shared" si="34"/>
        <v>-5.8004100000000136</v>
      </c>
      <c r="F85" s="16">
        <f t="shared" si="34"/>
        <v>91.222410000000025</v>
      </c>
    </row>
    <row r="86" spans="1:6">
      <c r="A86" s="8" t="s">
        <v>94</v>
      </c>
      <c r="C86" s="18">
        <f>C68</f>
        <v>0</v>
      </c>
      <c r="D86" s="18">
        <f t="shared" ref="D86:F86" si="35">D68</f>
        <v>0</v>
      </c>
      <c r="E86" s="18">
        <f t="shared" si="35"/>
        <v>0</v>
      </c>
      <c r="F86" s="18">
        <f t="shared" si="35"/>
        <v>0</v>
      </c>
    </row>
    <row r="87" spans="1:6">
      <c r="A87" s="8" t="s">
        <v>95</v>
      </c>
      <c r="C87" s="18">
        <f>C69</f>
        <v>81</v>
      </c>
      <c r="D87" s="18">
        <f t="shared" ref="D87:F87" si="36">D69</f>
        <v>12.555000000000007</v>
      </c>
      <c r="E87" s="18">
        <f t="shared" si="36"/>
        <v>14.501025000000027</v>
      </c>
      <c r="F87" s="18">
        <f t="shared" si="36"/>
        <v>-108.05602500000003</v>
      </c>
    </row>
    <row r="88" spans="1:6">
      <c r="A88" s="8" t="s">
        <v>96</v>
      </c>
      <c r="C88" s="16">
        <f>C45</f>
        <v>20.8</v>
      </c>
      <c r="D88" s="16">
        <f t="shared" ref="D88:F88" si="37">D45</f>
        <v>19.2</v>
      </c>
      <c r="E88" s="16">
        <f t="shared" si="37"/>
        <v>17.600000000000001</v>
      </c>
      <c r="F88" s="16">
        <f t="shared" si="37"/>
        <v>0</v>
      </c>
    </row>
    <row r="89" spans="1:6">
      <c r="A89" s="8" t="s">
        <v>97</v>
      </c>
      <c r="C89" s="16">
        <f>C59</f>
        <v>0</v>
      </c>
      <c r="D89" s="16">
        <f t="shared" ref="D89:F89" si="38">D59</f>
        <v>5.6259999999999861</v>
      </c>
      <c r="E89" s="16">
        <f t="shared" si="38"/>
        <v>23.347230000000021</v>
      </c>
      <c r="F89" s="16">
        <f t="shared" si="38"/>
        <v>0</v>
      </c>
    </row>
    <row r="90" spans="1:6" s="1" customFormat="1" ht="16" thickBot="1">
      <c r="A90" s="67" t="s">
        <v>98</v>
      </c>
      <c r="B90" s="74">
        <f>B75-B82</f>
        <v>-192</v>
      </c>
      <c r="C90" s="68">
        <f t="shared" ref="C90:F90" si="39">C75-C82</f>
        <v>-55.899999999999977</v>
      </c>
      <c r="D90" s="68">
        <f t="shared" si="39"/>
        <v>42.693499999999972</v>
      </c>
      <c r="E90" s="68">
        <f t="shared" si="39"/>
        <v>111.43779250000011</v>
      </c>
      <c r="F90" s="68">
        <f t="shared" si="39"/>
        <v>165.86162750000003</v>
      </c>
    </row>
    <row r="91" spans="1:6" s="4" customFormat="1">
      <c r="A91" s="4" t="s">
        <v>102</v>
      </c>
      <c r="B91" s="20">
        <f>B90</f>
        <v>-192</v>
      </c>
      <c r="C91" s="9">
        <f>B91+C90</f>
        <v>-247.89999999999998</v>
      </c>
      <c r="D91" s="9">
        <f>C91+D90</f>
        <v>-205.20650000000001</v>
      </c>
      <c r="E91" s="9">
        <f>D91+E90</f>
        <v>-93.768707499999891</v>
      </c>
      <c r="F91" s="9">
        <f>E91+F90</f>
        <v>72.092920000000134</v>
      </c>
    </row>
    <row r="92" spans="1:6">
      <c r="A92" s="8" t="s">
        <v>4</v>
      </c>
      <c r="B92" s="3">
        <f>B90/(1+$C$39)^B74</f>
        <v>-192</v>
      </c>
      <c r="C92" s="3">
        <f t="shared" ref="C92:F92" si="40">C90/(1+$C$39)^C74</f>
        <v>-48.189655172413779</v>
      </c>
      <c r="D92" s="3">
        <f t="shared" si="40"/>
        <v>31.728225326991659</v>
      </c>
      <c r="E92" s="3">
        <f t="shared" si="40"/>
        <v>71.393476887633852</v>
      </c>
      <c r="F92" s="3">
        <f t="shared" si="40"/>
        <v>91.603900348217351</v>
      </c>
    </row>
    <row r="93" spans="1:6" s="4" customFormat="1">
      <c r="A93" s="75" t="s">
        <v>102</v>
      </c>
      <c r="B93" s="76">
        <f>B92</f>
        <v>-192</v>
      </c>
      <c r="C93" s="76">
        <f>B93+C92</f>
        <v>-240.18965517241378</v>
      </c>
      <c r="D93" s="76">
        <f>C93+D92</f>
        <v>-208.46142984542212</v>
      </c>
      <c r="E93" s="76">
        <f>D93+E92</f>
        <v>-137.06795295778826</v>
      </c>
      <c r="F93" s="76">
        <f>E93+F92</f>
        <v>-45.464052609570913</v>
      </c>
    </row>
    <row r="94" spans="1:6" s="1" customFormat="1">
      <c r="A94" s="50" t="s">
        <v>1</v>
      </c>
      <c r="B94" s="72"/>
      <c r="C94" s="72"/>
      <c r="D94" s="72"/>
      <c r="E94" s="72"/>
      <c r="F94" s="77"/>
    </row>
    <row r="95" spans="1:6">
      <c r="A95" s="78" t="s">
        <v>3</v>
      </c>
      <c r="B95" s="79"/>
      <c r="C95" s="79">
        <f>IF(C91&lt;0,1,0)</f>
        <v>1</v>
      </c>
      <c r="D95" s="79">
        <f t="shared" ref="D95:F95" si="41">IF(D91&lt;0,1,0)</f>
        <v>1</v>
      </c>
      <c r="E95" s="79">
        <f t="shared" si="41"/>
        <v>1</v>
      </c>
      <c r="F95" s="80">
        <f t="shared" si="41"/>
        <v>0</v>
      </c>
    </row>
    <row r="96" spans="1:6">
      <c r="A96" s="78" t="s">
        <v>2</v>
      </c>
      <c r="B96" s="79"/>
      <c r="C96" s="79">
        <f>IF(C91*D91&lt;0,C91*12/D90,0)</f>
        <v>0</v>
      </c>
      <c r="D96" s="79">
        <f t="shared" ref="D96:F96" si="42">IF(D91*E91&lt;0,D91*12/E90,0)</f>
        <v>0</v>
      </c>
      <c r="E96" s="79">
        <f t="shared" si="42"/>
        <v>-6.7841158136471229</v>
      </c>
      <c r="F96" s="80">
        <f t="shared" si="42"/>
        <v>0</v>
      </c>
    </row>
    <row r="97" spans="1:8" s="1" customFormat="1">
      <c r="A97" s="81" t="s">
        <v>5</v>
      </c>
      <c r="B97" s="82"/>
      <c r="C97" s="82"/>
      <c r="D97" s="82"/>
      <c r="E97" s="82"/>
      <c r="F97" s="83"/>
    </row>
    <row r="98" spans="1:8">
      <c r="A98" s="78" t="s">
        <v>3</v>
      </c>
      <c r="B98" s="79"/>
      <c r="C98" s="79">
        <f>IF(C93&lt;0,1,0)</f>
        <v>1</v>
      </c>
      <c r="D98" s="79">
        <f t="shared" ref="D98:F98" si="43">IF(D93&lt;0,1,0)</f>
        <v>1</v>
      </c>
      <c r="E98" s="79">
        <f t="shared" si="43"/>
        <v>1</v>
      </c>
      <c r="F98" s="80">
        <f t="shared" si="43"/>
        <v>1</v>
      </c>
    </row>
    <row r="99" spans="1:8">
      <c r="A99" s="84" t="s">
        <v>2</v>
      </c>
      <c r="B99" s="85"/>
      <c r="C99" s="85">
        <f>IF(C93*D93&lt;0,C93*12/D92,0)</f>
        <v>0</v>
      </c>
      <c r="D99" s="85">
        <f t="shared" ref="D99:F99" si="44">IF(D93*E93&lt;0,D93*12/E92,0)</f>
        <v>0</v>
      </c>
      <c r="E99" s="85">
        <f t="shared" si="44"/>
        <v>0</v>
      </c>
      <c r="F99" s="86">
        <f t="shared" si="44"/>
        <v>0</v>
      </c>
    </row>
    <row r="100" spans="1:8" s="1" customFormat="1" ht="16" thickBot="1">
      <c r="A100" s="1" t="s">
        <v>105</v>
      </c>
    </row>
    <row r="101" spans="1:8">
      <c r="A101" s="106" t="s">
        <v>100</v>
      </c>
      <c r="B101" s="107">
        <f>NPV(C39,C90:F90)+B90</f>
        <v>-45.464052609570899</v>
      </c>
      <c r="C101" s="108"/>
      <c r="D101" s="109"/>
    </row>
    <row r="102" spans="1:8">
      <c r="A102" s="110" t="s">
        <v>101</v>
      </c>
      <c r="B102" s="119">
        <f>IRR(B90:F90)</f>
        <v>8.4533848468751227E-2</v>
      </c>
      <c r="C102" s="111"/>
      <c r="D102" s="112"/>
    </row>
    <row r="103" spans="1:8">
      <c r="A103" s="110" t="s">
        <v>103</v>
      </c>
      <c r="B103" s="113">
        <f>SUM(C95:F95)</f>
        <v>3</v>
      </c>
      <c r="C103" s="114">
        <f>SUM(C96:F96)</f>
        <v>-6.7841158136471229</v>
      </c>
      <c r="D103" s="112"/>
    </row>
    <row r="104" spans="1:8" ht="16" thickBot="1">
      <c r="A104" s="115" t="s">
        <v>104</v>
      </c>
      <c r="B104" s="116">
        <f>SUM(C98:F98)</f>
        <v>4</v>
      </c>
      <c r="C104" s="117">
        <f>SUM(C99:F99)</f>
        <v>0</v>
      </c>
      <c r="D104" s="118"/>
    </row>
    <row r="105" spans="1:8" s="24" customFormat="1">
      <c r="A105" s="24" t="s">
        <v>106</v>
      </c>
    </row>
    <row r="106" spans="1:8">
      <c r="A106" s="24" t="s">
        <v>107</v>
      </c>
      <c r="E106" t="s">
        <v>8</v>
      </c>
    </row>
    <row r="107" spans="1:8">
      <c r="B107" s="87">
        <f>B101</f>
        <v>-45.464052609570899</v>
      </c>
      <c r="C107" s="88">
        <f>D107-5%</f>
        <v>0.25000000000000006</v>
      </c>
      <c r="D107" s="88">
        <f>E107-5%</f>
        <v>0.30000000000000004</v>
      </c>
      <c r="E107" s="88">
        <f>F107-5%</f>
        <v>0.35000000000000003</v>
      </c>
      <c r="F107" s="89">
        <v>0.4</v>
      </c>
      <c r="G107" s="88">
        <f t="shared" ref="G107:H107" si="45">F107+5%</f>
        <v>0.45</v>
      </c>
      <c r="H107" s="88">
        <f t="shared" si="45"/>
        <v>0.5</v>
      </c>
    </row>
    <row r="108" spans="1:8">
      <c r="B108" s="90">
        <f>B109-10</f>
        <v>130</v>
      </c>
      <c r="C108" s="91">
        <f t="dataTable" ref="C108:H115" dt2D="1" dtr="1" r1="B23" r2="C18"/>
        <v>45.430648033631456</v>
      </c>
      <c r="D108" s="91">
        <v>-31.682503577078961</v>
      </c>
      <c r="E108" s="91">
        <v>-109.71323842203461</v>
      </c>
      <c r="F108" s="91">
        <v>-192.85202915284034</v>
      </c>
      <c r="G108" s="91">
        <v>-278.10921182007235</v>
      </c>
      <c r="H108" s="91">
        <v>-367.24766908855884</v>
      </c>
    </row>
    <row r="109" spans="1:8">
      <c r="B109" s="90">
        <f>B110-10</f>
        <v>140</v>
      </c>
      <c r="C109" s="91">
        <v>127.89664366955981</v>
      </c>
      <c r="D109" s="91">
        <v>50.403435303648678</v>
      </c>
      <c r="E109" s="91">
        <v>-32.641497200193186</v>
      </c>
      <c r="F109" s="91">
        <v>-117.06752363982636</v>
      </c>
      <c r="G109" s="91">
        <v>-206.60160596530937</v>
      </c>
      <c r="H109" s="91">
        <v>-299.63861865899116</v>
      </c>
    </row>
    <row r="110" spans="1:8">
      <c r="B110" s="92">
        <v>150</v>
      </c>
      <c r="C110" s="91">
        <v>208.9316048227297</v>
      </c>
      <c r="D110" s="91">
        <v>126.93765004644541</v>
      </c>
      <c r="E110" s="91">
        <v>43.512660787402666</v>
      </c>
      <c r="F110" s="93">
        <v>-45.464052609570899</v>
      </c>
      <c r="G110" s="91">
        <v>-137.2123920469727</v>
      </c>
      <c r="H110" s="91">
        <v>-233.1417659671331</v>
      </c>
    </row>
    <row r="111" spans="1:8">
      <c r="B111" s="90">
        <f>B110+10</f>
        <v>160</v>
      </c>
      <c r="C111" s="91">
        <v>289.96656597589924</v>
      </c>
      <c r="D111" s="91">
        <v>202.50634754786267</v>
      </c>
      <c r="E111" s="91">
        <v>115.04612911982633</v>
      </c>
      <c r="F111" s="91">
        <v>24.75832448489345</v>
      </c>
      <c r="G111" s="91">
        <v>-70.150169805211902</v>
      </c>
      <c r="H111" s="91">
        <v>-170.14784364347395</v>
      </c>
    </row>
    <row r="112" spans="1:8">
      <c r="B112" s="90">
        <f t="shared" ref="B112:B115" si="46">B111+10</f>
        <v>170</v>
      </c>
      <c r="C112" s="91">
        <v>371.00152712906925</v>
      </c>
      <c r="D112" s="91">
        <v>278.0750450492805</v>
      </c>
      <c r="E112" s="91">
        <v>185.14856296949176</v>
      </c>
      <c r="F112" s="91">
        <v>92.222080889703193</v>
      </c>
      <c r="G112" s="91">
        <v>-5.8595736038783741</v>
      </c>
      <c r="H112" s="91">
        <v>-107.1539213198147</v>
      </c>
    </row>
    <row r="113" spans="1:8">
      <c r="B113" s="90">
        <f t="shared" si="46"/>
        <v>180</v>
      </c>
      <c r="C113" s="91">
        <v>452.03648828223857</v>
      </c>
      <c r="D113" s="91">
        <v>353.64374255069765</v>
      </c>
      <c r="E113" s="91">
        <v>255.25099681915674</v>
      </c>
      <c r="F113" s="91">
        <v>156.85825108761588</v>
      </c>
      <c r="G113" s="91">
        <v>58.431022597454472</v>
      </c>
      <c r="H113" s="91">
        <v>-48.341033478914056</v>
      </c>
    </row>
    <row r="114" spans="1:8">
      <c r="B114" s="90">
        <f t="shared" si="46"/>
        <v>190</v>
      </c>
      <c r="C114" s="91">
        <v>533.07144943540857</v>
      </c>
      <c r="D114" s="91">
        <v>429.21244005211531</v>
      </c>
      <c r="E114" s="91">
        <v>325.35343066882206</v>
      </c>
      <c r="F114" s="91">
        <v>221.49442128552892</v>
      </c>
      <c r="G114" s="91">
        <v>117.63541190223577</v>
      </c>
      <c r="H114" s="91">
        <v>10.017781829287088</v>
      </c>
    </row>
    <row r="115" spans="1:8">
      <c r="B115" s="90">
        <f t="shared" si="46"/>
        <v>200</v>
      </c>
      <c r="C115" s="91">
        <v>614.10641058857823</v>
      </c>
      <c r="D115" s="91">
        <v>504.78113755353274</v>
      </c>
      <c r="E115" s="91">
        <v>395.45586451848703</v>
      </c>
      <c r="F115" s="91">
        <v>286.13059148344172</v>
      </c>
      <c r="G115" s="91">
        <v>176.80531844839624</v>
      </c>
      <c r="H115" s="91">
        <v>67.480045413351036</v>
      </c>
    </row>
    <row r="116" spans="1:8" s="1" customFormat="1">
      <c r="A116" s="1" t="s">
        <v>108</v>
      </c>
      <c r="C116"/>
      <c r="D116"/>
      <c r="E116" t="s">
        <v>8</v>
      </c>
      <c r="F116"/>
      <c r="G116"/>
      <c r="H116"/>
    </row>
    <row r="117" spans="1:8">
      <c r="B117" s="94">
        <f>B102</f>
        <v>8.4533848468751227E-2</v>
      </c>
      <c r="C117" s="88">
        <f>D117-5%</f>
        <v>0.25000000000000006</v>
      </c>
      <c r="D117" s="88">
        <f>E117-5%</f>
        <v>0.30000000000000004</v>
      </c>
      <c r="E117" s="88">
        <f>F117-5%</f>
        <v>0.35000000000000003</v>
      </c>
      <c r="F117" s="89">
        <v>0.4</v>
      </c>
      <c r="G117" s="88">
        <f t="shared" ref="G117:H117" si="47">F117+5%</f>
        <v>0.45</v>
      </c>
      <c r="H117" s="88">
        <f t="shared" si="47"/>
        <v>0.5</v>
      </c>
    </row>
    <row r="118" spans="1:8">
      <c r="B118" s="90">
        <f t="shared" ref="B118:B119" si="48">B119-0.001</f>
        <v>1.1999999999999997E-2</v>
      </c>
      <c r="C118" s="95">
        <f t="dataTable" ref="C118:H125" dt2D="1" dtr="1" r1="B23" r2="C19" ca="1"/>
        <v>8.7262774965948475E-2</v>
      </c>
      <c r="D118" s="95">
        <v>-3.1292859606569245E-2</v>
      </c>
      <c r="E118" s="95">
        <v>-0.14765576731383911</v>
      </c>
      <c r="F118" s="95">
        <v>-0.25622291151791032</v>
      </c>
      <c r="G118" s="95">
        <v>-0.35948491422470286</v>
      </c>
      <c r="H118" s="95" t="e">
        <v>#NUM!</v>
      </c>
    </row>
    <row r="119" spans="1:8">
      <c r="B119" s="90">
        <f t="shared" si="48"/>
        <v>1.2999999999999998E-2</v>
      </c>
      <c r="C119" s="95">
        <v>0.2390874885406773</v>
      </c>
      <c r="D119" s="95">
        <v>0.10617995880263997</v>
      </c>
      <c r="E119" s="95">
        <v>-2.0918688990367529E-2</v>
      </c>
      <c r="F119" s="95">
        <v>-0.14595161743305118</v>
      </c>
      <c r="G119" s="95">
        <v>-0.26221617850828016</v>
      </c>
      <c r="H119" s="95">
        <v>-0.370989388487445</v>
      </c>
    </row>
    <row r="120" spans="1:8">
      <c r="B120" s="90">
        <f>B121-0.001</f>
        <v>1.3999999999999999E-2</v>
      </c>
      <c r="C120" s="95">
        <v>0.38388968290661873</v>
      </c>
      <c r="D120" s="95">
        <v>0.24712638543714838</v>
      </c>
      <c r="E120" s="95">
        <v>0.10507098257940428</v>
      </c>
      <c r="F120" s="95">
        <v>-3.0602485915152911E-2</v>
      </c>
      <c r="G120" s="95">
        <v>-0.16223076170063067</v>
      </c>
      <c r="H120" s="95">
        <v>-0.2853438034731216</v>
      </c>
    </row>
    <row r="121" spans="1:8">
      <c r="A121" t="s">
        <v>6</v>
      </c>
      <c r="B121" s="92">
        <v>1.4999999999999999E-2</v>
      </c>
      <c r="C121" s="95">
        <v>0.5261407214047622</v>
      </c>
      <c r="D121" s="95">
        <v>0.38042317738764164</v>
      </c>
      <c r="E121" s="95">
        <v>0.23442773518987714</v>
      </c>
      <c r="F121" s="96">
        <v>8.4533848468751227E-2</v>
      </c>
      <c r="G121" s="95">
        <v>-5.929458075825389E-2</v>
      </c>
      <c r="H121" s="95">
        <v>-0.19496412631360338</v>
      </c>
    </row>
    <row r="122" spans="1:8">
      <c r="B122" s="90">
        <f>B121+0.001</f>
        <v>1.6E-2</v>
      </c>
      <c r="C122" s="95">
        <v>0.66807850536846636</v>
      </c>
      <c r="D122" s="95">
        <v>0.51205889492016254</v>
      </c>
      <c r="E122" s="95">
        <v>0.35786799428039773</v>
      </c>
      <c r="F122" s="95">
        <v>0.20174355102376595</v>
      </c>
      <c r="G122" s="95">
        <v>4.5696220550383693E-2</v>
      </c>
      <c r="H122" s="95">
        <v>-0.10515131402269651</v>
      </c>
    </row>
    <row r="123" spans="1:8">
      <c r="B123" s="90">
        <f t="shared" ref="B123:B125" si="49">B122+0.001</f>
        <v>1.7000000000000001E-2</v>
      </c>
      <c r="C123" s="95">
        <v>0.80947957017313166</v>
      </c>
      <c r="D123" s="95">
        <v>0.64347315722593135</v>
      </c>
      <c r="E123" s="95">
        <v>0.47889487028090971</v>
      </c>
      <c r="F123" s="95">
        <v>0.31679226042619679</v>
      </c>
      <c r="G123" s="95">
        <v>0.15030602798399029</v>
      </c>
      <c r="H123" s="95">
        <v>-1.0371216197086142E-2</v>
      </c>
    </row>
    <row r="124" spans="1:8">
      <c r="B124" s="90">
        <f t="shared" si="49"/>
        <v>1.8000000000000002E-2</v>
      </c>
      <c r="C124" s="95">
        <v>0.95025655987172319</v>
      </c>
      <c r="D124" s="95">
        <v>0.77446704250976617</v>
      </c>
      <c r="E124" s="95">
        <v>0.59981568671331442</v>
      </c>
      <c r="F124" s="95">
        <v>0.42717870210210696</v>
      </c>
      <c r="G124" s="95">
        <v>0.257937443762285</v>
      </c>
      <c r="H124" s="95">
        <v>8.1961816791458642E-2</v>
      </c>
    </row>
    <row r="125" spans="1:8">
      <c r="B125" s="90">
        <f t="shared" si="49"/>
        <v>1.9000000000000003E-2</v>
      </c>
      <c r="C125" s="95">
        <v>1.0903959929927498</v>
      </c>
      <c r="D125" s="95">
        <v>0.90495147462317016</v>
      </c>
      <c r="E125" s="95">
        <v>0.72043990809699077</v>
      </c>
      <c r="F125" s="95">
        <v>0.53759448316269975</v>
      </c>
      <c r="G125" s="95">
        <v>0.35766216008867091</v>
      </c>
      <c r="H125" s="95">
        <v>0.17638516352112243</v>
      </c>
    </row>
    <row r="126" spans="1:8" s="1" customFormat="1">
      <c r="A126" s="1" t="s">
        <v>120</v>
      </c>
    </row>
    <row r="127" spans="1:8" s="1" customFormat="1">
      <c r="A127" s="1" t="s">
        <v>121</v>
      </c>
    </row>
    <row r="128" spans="1:8" s="15" customFormat="1" ht="16" thickBot="1">
      <c r="A128" s="63" t="s">
        <v>0</v>
      </c>
      <c r="B128" s="63">
        <v>1</v>
      </c>
      <c r="C128" s="97">
        <v>2</v>
      </c>
      <c r="D128" s="97">
        <v>3</v>
      </c>
      <c r="E128" s="34"/>
    </row>
    <row r="129" spans="1:5">
      <c r="A129" t="s">
        <v>123</v>
      </c>
      <c r="B129">
        <f>SUM(B130:B132)</f>
        <v>534.79999999999995</v>
      </c>
      <c r="C129">
        <f t="shared" ref="C129:D129" si="50">SUM(C130:C132)</f>
        <v>533.20000000000005</v>
      </c>
      <c r="D129">
        <f t="shared" si="50"/>
        <v>531.6</v>
      </c>
      <c r="E129" s="23"/>
    </row>
    <row r="130" spans="1:5" s="4" customFormat="1">
      <c r="A130" s="4" t="s">
        <v>124</v>
      </c>
      <c r="B130" s="4">
        <f>C54</f>
        <v>480</v>
      </c>
      <c r="C130" s="4">
        <f t="shared" ref="C130:D130" si="51">D54</f>
        <v>480</v>
      </c>
      <c r="D130" s="4">
        <f t="shared" si="51"/>
        <v>480</v>
      </c>
      <c r="E130" s="33"/>
    </row>
    <row r="131" spans="1:5" s="4" customFormat="1">
      <c r="A131" s="4" t="s">
        <v>125</v>
      </c>
      <c r="B131" s="4">
        <f>C55</f>
        <v>50</v>
      </c>
      <c r="C131" s="4">
        <f t="shared" ref="C131:D131" si="52">D55</f>
        <v>50</v>
      </c>
      <c r="D131" s="4">
        <f t="shared" si="52"/>
        <v>50</v>
      </c>
      <c r="E131" s="33"/>
    </row>
    <row r="132" spans="1:5" s="4" customFormat="1">
      <c r="A132" s="4" t="s">
        <v>126</v>
      </c>
      <c r="B132" s="9">
        <f>C57</f>
        <v>4.8000000000000007</v>
      </c>
      <c r="C132" s="9">
        <f t="shared" ref="C132:D132" si="53">D57</f>
        <v>3.2</v>
      </c>
      <c r="D132" s="9">
        <f t="shared" si="53"/>
        <v>1.6</v>
      </c>
      <c r="E132" s="33"/>
    </row>
    <row r="133" spans="1:5">
      <c r="A133" s="4" t="s">
        <v>8</v>
      </c>
      <c r="B133" s="18">
        <f>C53</f>
        <v>324</v>
      </c>
      <c r="C133" s="18">
        <f t="shared" ref="C133:D133" si="54">D53</f>
        <v>374.22</v>
      </c>
      <c r="D133" s="18">
        <f t="shared" si="54"/>
        <v>432.22410000000013</v>
      </c>
      <c r="E133" s="23"/>
    </row>
    <row r="134" spans="1:5" s="8" customFormat="1">
      <c r="A134" s="8" t="s">
        <v>127</v>
      </c>
      <c r="B134" s="7">
        <f>C51</f>
        <v>810</v>
      </c>
      <c r="C134" s="7">
        <f t="shared" ref="C134:D134" si="55">D51</f>
        <v>935.55</v>
      </c>
      <c r="D134" s="7">
        <f t="shared" si="55"/>
        <v>1080.5602500000002</v>
      </c>
    </row>
    <row r="135" spans="1:5" s="8" customFormat="1">
      <c r="A135" s="8" t="s">
        <v>122</v>
      </c>
      <c r="B135" s="6">
        <f>B129/(1-B133/B134)</f>
        <v>891.33333333333326</v>
      </c>
      <c r="C135" s="6">
        <f t="shared" ref="C135:D135" si="56">C129/(1-C133/C134)</f>
        <v>888.66666666666674</v>
      </c>
      <c r="D135" s="6">
        <f t="shared" si="56"/>
        <v>886.00000000000011</v>
      </c>
    </row>
    <row r="136" spans="1:5" ht="16" thickBot="1">
      <c r="A136" s="98" t="s">
        <v>128</v>
      </c>
      <c r="B136" s="99">
        <f>(B135*365/B134)</f>
        <v>401.65020576131684</v>
      </c>
      <c r="C136" s="99">
        <f t="shared" ref="C136:D136" si="57">(C135*365/C134)</f>
        <v>346.70870967167269</v>
      </c>
      <c r="D136" s="99">
        <f t="shared" si="57"/>
        <v>299.27993371956813</v>
      </c>
    </row>
    <row r="137" spans="1:5" s="1" customFormat="1">
      <c r="A137" s="1" t="s">
        <v>129</v>
      </c>
    </row>
    <row r="138" spans="1:5" ht="16" thickBot="1">
      <c r="A138" s="1" t="s">
        <v>131</v>
      </c>
    </row>
    <row r="139" spans="1:5">
      <c r="A139" s="100" t="s">
        <v>130</v>
      </c>
      <c r="B139" s="101">
        <v>156.47429701054011</v>
      </c>
    </row>
    <row r="140" spans="1:5">
      <c r="A140" s="102" t="s">
        <v>6</v>
      </c>
      <c r="B140" s="103">
        <v>1.4999999999999999E-2</v>
      </c>
    </row>
    <row r="141" spans="1:5" ht="16" thickBot="1">
      <c r="A141" s="104" t="s">
        <v>122</v>
      </c>
      <c r="B141" s="105">
        <f>B139*B140*30*12</f>
        <v>844.96120385691665</v>
      </c>
    </row>
  </sheetData>
  <scenarios current="1" sqref="B101:B104">
    <scenario name="Tình huống 1" locked="1" count="3" user="Huynh Thanh Dien" comment="Created by Huynh Thanh Dien on 10/16/2019">
      <inputCells r="C18" val="170"/>
      <inputCells r="C19" val="0.014"/>
      <inputCells r="B23" val="0.35" numFmtId="9"/>
    </scenario>
    <scenario name="Tình huống 2" locked="1" count="3" user="Huynh Thanh Dien" comment="Created by Huynh Thanh Dien on 10/16/2019">
      <inputCells r="C18" val="200"/>
      <inputCells r="C19" val="0.012"/>
      <inputCells r="B23" val="0.3" numFmtId="9"/>
    </scenario>
  </scenarios>
  <mergeCells count="1">
    <mergeCell ref="A1:F1"/>
  </mergeCells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Below="0"/>
  </sheetPr>
  <dimension ref="B2:F13"/>
  <sheetViews>
    <sheetView showGridLines="0" topLeftCell="A6" zoomScale="150" zoomScaleNormal="150" zoomScalePageLayoutView="150" workbookViewId="0">
      <selection activeCell="B15" sqref="B15"/>
    </sheetView>
  </sheetViews>
  <sheetFormatPr baseColWidth="10" defaultRowHeight="15" outlineLevelRow="1" outlineLevelCol="1" x14ac:dyDescent="0"/>
  <cols>
    <col min="4" max="4" width="18.6640625" customWidth="1" outlineLevel="1"/>
    <col min="5" max="5" width="13.1640625" customWidth="1" outlineLevel="1"/>
    <col min="6" max="6" width="13" customWidth="1" outlineLevel="1"/>
  </cols>
  <sheetData>
    <row r="2" spans="2:6">
      <c r="B2" s="1" t="s">
        <v>117</v>
      </c>
    </row>
    <row r="3" spans="2:6" collapsed="1">
      <c r="D3" s="17" t="s">
        <v>118</v>
      </c>
      <c r="E3" t="s">
        <v>109</v>
      </c>
      <c r="F3" t="s">
        <v>111</v>
      </c>
    </row>
    <row r="4" spans="2:6" ht="36" hidden="1" outlineLevel="1">
      <c r="D4" s="17"/>
      <c r="E4" s="27" t="s">
        <v>110</v>
      </c>
      <c r="F4" s="27" t="s">
        <v>110</v>
      </c>
    </row>
    <row r="5" spans="2:6" s="1" customFormat="1">
      <c r="B5" s="1" t="s">
        <v>112</v>
      </c>
      <c r="D5" s="29"/>
    </row>
    <row r="6" spans="2:6" outlineLevel="1">
      <c r="C6" t="s">
        <v>113</v>
      </c>
      <c r="D6" s="17">
        <v>150</v>
      </c>
      <c r="E6" s="25">
        <v>170</v>
      </c>
      <c r="F6" s="25">
        <v>200</v>
      </c>
    </row>
    <row r="7" spans="2:6" outlineLevel="1">
      <c r="C7" t="s">
        <v>6</v>
      </c>
      <c r="D7" s="17">
        <v>1.4999999999999999E-2</v>
      </c>
      <c r="E7" s="25">
        <v>1.4E-2</v>
      </c>
      <c r="F7" s="25">
        <v>1.2E-2</v>
      </c>
    </row>
    <row r="8" spans="2:6" outlineLevel="1">
      <c r="C8" t="s">
        <v>114</v>
      </c>
      <c r="D8" s="28">
        <v>0.4</v>
      </c>
      <c r="E8" s="26">
        <v>0.35</v>
      </c>
      <c r="F8" s="26">
        <v>0.3</v>
      </c>
    </row>
    <row r="9" spans="2:6" s="1" customFormat="1">
      <c r="B9" s="1" t="s">
        <v>119</v>
      </c>
    </row>
    <row r="10" spans="2:6" outlineLevel="1">
      <c r="C10" t="s">
        <v>100</v>
      </c>
      <c r="D10" s="3">
        <v>-45.464052609570899</v>
      </c>
      <c r="E10" s="16">
        <v>105.69913793987099</v>
      </c>
      <c r="F10" s="16">
        <v>202.50634754786299</v>
      </c>
    </row>
    <row r="11" spans="2:6" outlineLevel="1">
      <c r="C11" t="s">
        <v>101</v>
      </c>
      <c r="D11" s="2">
        <v>8.4533848468751199E-2</v>
      </c>
      <c r="E11" s="2">
        <v>0.34173899790430301</v>
      </c>
      <c r="F11" s="2">
        <v>0.51205889492016299</v>
      </c>
    </row>
    <row r="12" spans="2:6" outlineLevel="1">
      <c r="C12" t="s">
        <v>115</v>
      </c>
      <c r="D12" s="5">
        <v>3</v>
      </c>
      <c r="E12" s="5">
        <v>2</v>
      </c>
      <c r="F12" s="5">
        <v>2</v>
      </c>
    </row>
    <row r="13" spans="2:6" outlineLevel="1">
      <c r="C13" t="s">
        <v>116</v>
      </c>
      <c r="D13" s="5">
        <v>4</v>
      </c>
      <c r="E13" s="5">
        <v>2</v>
      </c>
      <c r="F13" s="5">
        <v>2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Du an</vt:lpstr>
      <vt:lpstr>Scenario Summary</vt:lpstr>
    </vt:vector>
  </TitlesOfParts>
  <Company>Agtex28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Huynh Thanh Dien</dc:creator>
  <cp:lastModifiedBy>Huynh Thanh Dien</cp:lastModifiedBy>
  <dcterms:created xsi:type="dcterms:W3CDTF">2019-10-14T11:20:09Z</dcterms:created>
  <dcterms:modified xsi:type="dcterms:W3CDTF">2019-10-16T16:01:57Z</dcterms:modified>
</cp:coreProperties>
</file>