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240" yWindow="240" windowWidth="24940" windowHeight="13500" tabRatio="500" activeTab="1"/>
  </bookViews>
  <sheets>
    <sheet name="Phan tich" sheetId="5" r:id="rId1"/>
    <sheet name="Scenario Summary" sheetId="6" r:id="rId2"/>
    <sheet name="Toan tai chính" sheetId="1" r:id="rId3"/>
    <sheet name="Lich tra no" sheetId="2" r:id="rId4"/>
    <sheet name="Hieu qua" sheetId="3" r:id="rId5"/>
    <sheet name="Quan diem" sheetId="4" r:id="rId6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2" i="5" l="1"/>
  <c r="C19" i="5"/>
  <c r="C48" i="5"/>
  <c r="C73" i="5"/>
  <c r="C61" i="5"/>
  <c r="C66" i="5"/>
  <c r="C74" i="5"/>
  <c r="C72" i="5"/>
  <c r="C22" i="5"/>
  <c r="C50" i="5"/>
  <c r="C51" i="5"/>
  <c r="C49" i="5"/>
  <c r="C81" i="5"/>
  <c r="C63" i="5"/>
  <c r="C68" i="5"/>
  <c r="C82" i="5"/>
  <c r="C60" i="5"/>
  <c r="C65" i="5"/>
  <c r="C83" i="5"/>
  <c r="C52" i="5"/>
  <c r="C53" i="5"/>
  <c r="C55" i="5"/>
  <c r="C56" i="5"/>
  <c r="C85" i="5"/>
  <c r="C79" i="5"/>
  <c r="C87" i="5"/>
  <c r="C89" i="5"/>
  <c r="B3" i="5"/>
  <c r="B2" i="5"/>
  <c r="B80" i="5"/>
  <c r="B79" i="5"/>
  <c r="B87" i="5"/>
  <c r="B89" i="5"/>
  <c r="B90" i="5"/>
  <c r="C90" i="5"/>
  <c r="C95" i="5"/>
  <c r="D18" i="5"/>
  <c r="D19" i="5"/>
  <c r="D48" i="5"/>
  <c r="D73" i="5"/>
  <c r="D61" i="5"/>
  <c r="D66" i="5"/>
  <c r="D74" i="5"/>
  <c r="D72" i="5"/>
  <c r="D22" i="5"/>
  <c r="D50" i="5"/>
  <c r="D23" i="5"/>
  <c r="D51" i="5"/>
  <c r="D49" i="5"/>
  <c r="D81" i="5"/>
  <c r="D63" i="5"/>
  <c r="D68" i="5"/>
  <c r="D82" i="5"/>
  <c r="D60" i="5"/>
  <c r="D65" i="5"/>
  <c r="D83" i="5"/>
  <c r="D52" i="5"/>
  <c r="D53" i="5"/>
  <c r="D55" i="5"/>
  <c r="D56" i="5"/>
  <c r="D85" i="5"/>
  <c r="D79" i="5"/>
  <c r="D87" i="5"/>
  <c r="D89" i="5"/>
  <c r="D90" i="5"/>
  <c r="D95" i="5"/>
  <c r="E18" i="5"/>
  <c r="E19" i="5"/>
  <c r="E48" i="5"/>
  <c r="E73" i="5"/>
  <c r="E61" i="5"/>
  <c r="E66" i="5"/>
  <c r="E74" i="5"/>
  <c r="E72" i="5"/>
  <c r="E22" i="5"/>
  <c r="E50" i="5"/>
  <c r="E23" i="5"/>
  <c r="E51" i="5"/>
  <c r="E49" i="5"/>
  <c r="E81" i="5"/>
  <c r="E63" i="5"/>
  <c r="E68" i="5"/>
  <c r="E82" i="5"/>
  <c r="E60" i="5"/>
  <c r="E65" i="5"/>
  <c r="E83" i="5"/>
  <c r="E52" i="5"/>
  <c r="E53" i="5"/>
  <c r="E55" i="5"/>
  <c r="E56" i="5"/>
  <c r="E85" i="5"/>
  <c r="E79" i="5"/>
  <c r="E87" i="5"/>
  <c r="E89" i="5"/>
  <c r="E90" i="5"/>
  <c r="E95" i="5"/>
  <c r="F18" i="5"/>
  <c r="F19" i="5"/>
  <c r="F48" i="5"/>
  <c r="F73" i="5"/>
  <c r="F61" i="5"/>
  <c r="F66" i="5"/>
  <c r="F74" i="5"/>
  <c r="F72" i="5"/>
  <c r="F22" i="5"/>
  <c r="F50" i="5"/>
  <c r="F23" i="5"/>
  <c r="F51" i="5"/>
  <c r="F49" i="5"/>
  <c r="F81" i="5"/>
  <c r="F63" i="5"/>
  <c r="F68" i="5"/>
  <c r="F82" i="5"/>
  <c r="F60" i="5"/>
  <c r="F65" i="5"/>
  <c r="F83" i="5"/>
  <c r="F52" i="5"/>
  <c r="F53" i="5"/>
  <c r="F55" i="5"/>
  <c r="F56" i="5"/>
  <c r="F85" i="5"/>
  <c r="F79" i="5"/>
  <c r="F87" i="5"/>
  <c r="F89" i="5"/>
  <c r="F90" i="5"/>
  <c r="F95" i="5"/>
  <c r="G66" i="5"/>
  <c r="G74" i="5"/>
  <c r="G72" i="5"/>
  <c r="G68" i="5"/>
  <c r="G82" i="5"/>
  <c r="G65" i="5"/>
  <c r="G83" i="5"/>
  <c r="G79" i="5"/>
  <c r="G87" i="5"/>
  <c r="G89" i="5"/>
  <c r="G90" i="5"/>
  <c r="G95" i="5"/>
  <c r="B102" i="5"/>
  <c r="B174" i="5"/>
  <c r="B88" i="5"/>
  <c r="C88" i="5"/>
  <c r="C92" i="5"/>
  <c r="D88" i="5"/>
  <c r="D92" i="5"/>
  <c r="E88" i="5"/>
  <c r="E92" i="5"/>
  <c r="F88" i="5"/>
  <c r="F92" i="5"/>
  <c r="G88" i="5"/>
  <c r="G92" i="5"/>
  <c r="B101" i="5"/>
  <c r="B173" i="5"/>
  <c r="B99" i="5"/>
  <c r="B172" i="5"/>
  <c r="B98" i="5"/>
  <c r="B171" i="5"/>
  <c r="C138" i="5"/>
  <c r="C139" i="5"/>
  <c r="C140" i="5"/>
  <c r="C137" i="5"/>
  <c r="D138" i="5"/>
  <c r="D139" i="5"/>
  <c r="D140" i="5"/>
  <c r="D137" i="5"/>
  <c r="E138" i="5"/>
  <c r="E139" i="5"/>
  <c r="E140" i="5"/>
  <c r="E137" i="5"/>
  <c r="C141" i="5"/>
  <c r="D141" i="5"/>
  <c r="E141" i="5"/>
  <c r="C142" i="5"/>
  <c r="D142" i="5"/>
  <c r="E142" i="5"/>
  <c r="C143" i="5"/>
  <c r="D143" i="5"/>
  <c r="E143" i="5"/>
  <c r="B141" i="5"/>
  <c r="B142" i="5"/>
  <c r="B139" i="5"/>
  <c r="B138" i="5"/>
  <c r="B137" i="5"/>
  <c r="B143" i="5"/>
  <c r="B140" i="5"/>
  <c r="B122" i="5"/>
  <c r="B130" i="5"/>
  <c r="B131" i="5"/>
  <c r="B132" i="5"/>
  <c r="B133" i="5"/>
  <c r="B129" i="5"/>
  <c r="B126" i="5"/>
  <c r="B125" i="5"/>
  <c r="B124" i="5"/>
  <c r="B123" i="5"/>
  <c r="B127" i="5"/>
  <c r="G122" i="5"/>
  <c r="H122" i="5"/>
  <c r="I122" i="5"/>
  <c r="E122" i="5"/>
  <c r="D122" i="5"/>
  <c r="C122" i="5"/>
  <c r="B106" i="5"/>
  <c r="B115" i="5"/>
  <c r="B116" i="5"/>
  <c r="B117" i="5"/>
  <c r="B118" i="5"/>
  <c r="B119" i="5"/>
  <c r="B114" i="5"/>
  <c r="B111" i="5"/>
  <c r="B110" i="5"/>
  <c r="B109" i="5"/>
  <c r="B108" i="5"/>
  <c r="B107" i="5"/>
  <c r="B112" i="5"/>
  <c r="H106" i="5"/>
  <c r="I106" i="5"/>
  <c r="G106" i="5"/>
  <c r="D106" i="5"/>
  <c r="C106" i="5"/>
  <c r="E106" i="5"/>
  <c r="C96" i="5"/>
  <c r="D96" i="5"/>
  <c r="E96" i="5"/>
  <c r="F96" i="5"/>
  <c r="G96" i="5"/>
  <c r="C102" i="5"/>
  <c r="C93" i="5"/>
  <c r="D93" i="5"/>
  <c r="E93" i="5"/>
  <c r="F93" i="5"/>
  <c r="G93" i="5"/>
  <c r="C101" i="5"/>
  <c r="D86" i="5"/>
  <c r="E86" i="5"/>
  <c r="F86" i="5"/>
  <c r="G86" i="5"/>
  <c r="C86" i="5"/>
  <c r="G85" i="5"/>
  <c r="D84" i="5"/>
  <c r="E84" i="5"/>
  <c r="F84" i="5"/>
  <c r="G84" i="5"/>
  <c r="C84" i="5"/>
  <c r="B72" i="5"/>
  <c r="G77" i="5"/>
  <c r="G78" i="5"/>
  <c r="G76" i="5"/>
  <c r="B75" i="5"/>
  <c r="G73" i="5"/>
  <c r="C67" i="5"/>
  <c r="D67" i="5"/>
  <c r="E67" i="5"/>
  <c r="F67" i="5"/>
  <c r="G67" i="5"/>
  <c r="C64" i="5"/>
  <c r="C69" i="5"/>
  <c r="D64" i="5"/>
  <c r="D69" i="5"/>
  <c r="E64" i="5"/>
  <c r="E69" i="5"/>
  <c r="F64" i="5"/>
  <c r="F69" i="5"/>
  <c r="G69" i="5"/>
  <c r="D54" i="5"/>
  <c r="E54" i="5"/>
  <c r="F54" i="5"/>
  <c r="D57" i="5"/>
  <c r="E57" i="5"/>
  <c r="F57" i="5"/>
  <c r="C57" i="5"/>
  <c r="C54" i="5"/>
  <c r="D40" i="5"/>
  <c r="D42" i="5"/>
  <c r="D41" i="5"/>
  <c r="D43" i="5"/>
  <c r="D44" i="5"/>
  <c r="D45" i="5"/>
  <c r="E40" i="5"/>
  <c r="E42" i="5"/>
  <c r="E41" i="5"/>
  <c r="E43" i="5"/>
  <c r="E44" i="5"/>
  <c r="E45" i="5"/>
  <c r="F40" i="5"/>
  <c r="F41" i="5"/>
  <c r="F42" i="5"/>
  <c r="F43" i="5"/>
  <c r="F44" i="5"/>
  <c r="F45" i="5"/>
  <c r="C45" i="5"/>
  <c r="C44" i="5"/>
  <c r="C43" i="5"/>
  <c r="C42" i="5"/>
  <c r="C41" i="5"/>
  <c r="C40" i="5"/>
  <c r="B45" i="5"/>
  <c r="B32" i="5"/>
  <c r="B36" i="5"/>
  <c r="B35" i="5"/>
  <c r="B4" i="5"/>
  <c r="B30" i="5"/>
  <c r="C27" i="5"/>
  <c r="D24" i="5"/>
  <c r="E24" i="5"/>
  <c r="F24" i="5"/>
  <c r="C24" i="5"/>
  <c r="E41" i="1"/>
  <c r="A41" i="1"/>
  <c r="D16" i="4"/>
  <c r="B16" i="4"/>
  <c r="B15" i="4"/>
  <c r="D14" i="4"/>
  <c r="B14" i="4"/>
  <c r="B13" i="4"/>
  <c r="D12" i="4"/>
  <c r="D11" i="4"/>
  <c r="B9" i="4"/>
  <c r="B7" i="4"/>
  <c r="D5" i="4"/>
  <c r="E5" i="4"/>
  <c r="C5" i="4"/>
  <c r="B5" i="4"/>
  <c r="D4" i="4"/>
  <c r="E4" i="4"/>
  <c r="C4" i="4"/>
  <c r="C39" i="3"/>
  <c r="D33" i="3"/>
  <c r="E33" i="3"/>
  <c r="F33" i="3"/>
  <c r="C33" i="3"/>
  <c r="B39" i="3"/>
  <c r="D32" i="3"/>
  <c r="E32" i="3"/>
  <c r="F32" i="3"/>
  <c r="C32" i="3"/>
  <c r="B41" i="3"/>
  <c r="B40" i="3"/>
  <c r="F30" i="3"/>
  <c r="E30" i="3"/>
  <c r="D30" i="3"/>
  <c r="C30" i="3"/>
  <c r="B30" i="3"/>
  <c r="E29" i="3"/>
  <c r="F29" i="3"/>
  <c r="D29" i="3"/>
  <c r="C29" i="3"/>
  <c r="B29" i="3"/>
  <c r="C38" i="3"/>
  <c r="D36" i="3"/>
  <c r="E36" i="3"/>
  <c r="F36" i="3"/>
  <c r="C36" i="3"/>
  <c r="B38" i="3"/>
  <c r="D35" i="3"/>
  <c r="E35" i="3"/>
  <c r="F35" i="3"/>
  <c r="C35" i="3"/>
  <c r="F28" i="3"/>
  <c r="E28" i="3"/>
  <c r="D28" i="3"/>
  <c r="C28" i="3"/>
  <c r="B28" i="3"/>
  <c r="B11" i="3"/>
  <c r="B22" i="3"/>
  <c r="E25" i="3"/>
  <c r="E24" i="3"/>
  <c r="B21" i="3"/>
  <c r="C16" i="3"/>
  <c r="C15" i="3"/>
  <c r="E12" i="3"/>
  <c r="D12" i="3"/>
  <c r="C12" i="3"/>
  <c r="B16" i="3"/>
  <c r="B15" i="3"/>
  <c r="C11" i="3"/>
  <c r="D11" i="3"/>
  <c r="E11" i="3"/>
  <c r="E32" i="2"/>
  <c r="E36" i="2"/>
  <c r="E37" i="2"/>
  <c r="F32" i="2"/>
  <c r="E33" i="2"/>
  <c r="F33" i="2"/>
  <c r="E35" i="2"/>
  <c r="E34" i="2"/>
  <c r="F35" i="2"/>
  <c r="F36" i="2"/>
  <c r="F34" i="2"/>
  <c r="F37" i="2"/>
  <c r="D37" i="2"/>
  <c r="D34" i="2"/>
  <c r="D35" i="2"/>
  <c r="D36" i="2"/>
  <c r="D33" i="2"/>
  <c r="D32" i="2"/>
  <c r="C37" i="2"/>
  <c r="C33" i="2"/>
  <c r="C32" i="2"/>
  <c r="E24" i="2"/>
  <c r="E28" i="2"/>
  <c r="E29" i="2"/>
  <c r="F24" i="2"/>
  <c r="E25" i="2"/>
  <c r="F25" i="2"/>
  <c r="E27" i="2"/>
  <c r="E26" i="2"/>
  <c r="F27" i="2"/>
  <c r="F28" i="2"/>
  <c r="F26" i="2"/>
  <c r="F29" i="2"/>
  <c r="D29" i="2"/>
  <c r="D26" i="2"/>
  <c r="D27" i="2"/>
  <c r="D28" i="2"/>
  <c r="D25" i="2"/>
  <c r="D24" i="2"/>
  <c r="C29" i="2"/>
  <c r="C26" i="2"/>
  <c r="C27" i="2"/>
  <c r="C25" i="2"/>
  <c r="C24" i="2"/>
  <c r="H17" i="2"/>
  <c r="H6" i="2"/>
  <c r="E16" i="2"/>
  <c r="E18" i="2"/>
  <c r="E17" i="2"/>
  <c r="E19" i="2"/>
  <c r="E20" i="2"/>
  <c r="E21" i="2"/>
  <c r="F16" i="2"/>
  <c r="F17" i="2"/>
  <c r="F18" i="2"/>
  <c r="F19" i="2"/>
  <c r="F20" i="2"/>
  <c r="F21" i="2"/>
  <c r="D21" i="2"/>
  <c r="D20" i="2"/>
  <c r="D19" i="2"/>
  <c r="D17" i="2"/>
  <c r="D16" i="2"/>
  <c r="C21" i="2"/>
  <c r="C20" i="2"/>
  <c r="C19" i="2"/>
  <c r="D18" i="2"/>
  <c r="C18" i="2"/>
  <c r="C17" i="2"/>
  <c r="C16" i="2"/>
  <c r="D5" i="2"/>
  <c r="D9" i="2"/>
  <c r="D10" i="2"/>
  <c r="E5" i="2"/>
  <c r="E9" i="2"/>
  <c r="E10" i="2"/>
  <c r="F5" i="2"/>
  <c r="D6" i="2"/>
  <c r="E6" i="2"/>
  <c r="F6" i="2"/>
  <c r="D8" i="2"/>
  <c r="D7" i="2"/>
  <c r="E8" i="2"/>
  <c r="E7" i="2"/>
  <c r="F8" i="2"/>
  <c r="F9" i="2"/>
  <c r="F7" i="2"/>
  <c r="F10" i="2"/>
  <c r="C10" i="2"/>
  <c r="C7" i="2"/>
  <c r="C8" i="2"/>
  <c r="C9" i="2"/>
  <c r="C6" i="2"/>
  <c r="C5" i="2"/>
  <c r="B45" i="1"/>
  <c r="B46" i="1"/>
  <c r="A42" i="1"/>
  <c r="H37" i="1"/>
  <c r="A40" i="1"/>
  <c r="B35" i="1"/>
  <c r="B32" i="1"/>
  <c r="B20" i="1"/>
  <c r="D21" i="1"/>
  <c r="G16" i="1"/>
  <c r="B15" i="1"/>
  <c r="B7" i="1"/>
  <c r="B8" i="1"/>
</calcChain>
</file>

<file path=xl/sharedStrings.xml><?xml version="1.0" encoding="utf-8"?>
<sst xmlns="http://schemas.openxmlformats.org/spreadsheetml/2006/main" count="346" uniqueCount="252">
  <si>
    <t>GIÁ TRỊ TIỀN THEO THỜI GIAN</t>
  </si>
  <si>
    <t>1. Giá trị tương lai 1 số tiền</t>
  </si>
  <si>
    <t>...</t>
  </si>
  <si>
    <t>n</t>
  </si>
  <si>
    <t>PV: Giá trị hiện tại</t>
  </si>
  <si>
    <t>r: lãi suất</t>
  </si>
  <si>
    <t>10(1+10%)</t>
  </si>
  <si>
    <t>11(1+10%)</t>
  </si>
  <si>
    <t>10(1+10%)(1+10%)</t>
  </si>
  <si>
    <t>10(1+10%)^2</t>
  </si>
  <si>
    <t>10(1+10%)^n</t>
  </si>
  <si>
    <t>FV=PV(1+r)^n</t>
  </si>
  <si>
    <t>n=</t>
  </si>
  <si>
    <t>FV=</t>
  </si>
  <si>
    <t>2. Gía trị hiện tại của 1 số tiền</t>
  </si>
  <si>
    <t>PV=FV/(1+r)^n</t>
  </si>
  <si>
    <t>r=</t>
  </si>
  <si>
    <t>PV=</t>
  </si>
  <si>
    <t>100/(1+10%)^4</t>
  </si>
  <si>
    <t>3. Giá trị tương lai của 1 dòng tiền đều</t>
  </si>
  <si>
    <t>n-1</t>
  </si>
  <si>
    <t>PMT</t>
  </si>
  <si>
    <t>PMT(1+r)</t>
  </si>
  <si>
    <t>PMT(1+r)^2</t>
  </si>
  <si>
    <t>PMT(1+r)^n-1</t>
  </si>
  <si>
    <t>FV=PMT+PMT(1+r)+PMT(1+r)^2+...+PMT(1+r)^n-1</t>
  </si>
  <si>
    <t>(1)</t>
  </si>
  <si>
    <t>Nhân 2 vế của 1 cho (1+r)</t>
  </si>
  <si>
    <t xml:space="preserve">FV(1+r)=PMT(1+r)+PMT(1+r)^2+...+PMT(1+r)^n        </t>
  </si>
  <si>
    <t>(2)</t>
  </si>
  <si>
    <t>Lấy (2)-(1)</t>
  </si>
  <si>
    <t>FV(1+r)-FV= PMT(1+r)^n-PMT</t>
  </si>
  <si>
    <t>FV(1+r-1)=PMT[(1+r)^n     - 1]</t>
  </si>
  <si>
    <t>4. Giá trị hiện tại của 1 dòng tiền đều</t>
  </si>
  <si>
    <t>306.11/(1+1%)^48</t>
  </si>
  <si>
    <t>PMT=</t>
  </si>
  <si>
    <t>PV=?</t>
  </si>
  <si>
    <t>PVo=</t>
  </si>
  <si>
    <t>Pv1</t>
  </si>
  <si>
    <t xml:space="preserve"> tháng</t>
  </si>
  <si>
    <t xml:space="preserve"> /tháng</t>
  </si>
  <si>
    <t>1. KẾ HOẠCH VAY VÀ TRẢ NỢ</t>
  </si>
  <si>
    <t>VAY</t>
  </si>
  <si>
    <t>năm</t>
  </si>
  <si>
    <t>a. Trả gốc đều</t>
  </si>
  <si>
    <t>Năm</t>
  </si>
  <si>
    <t>Nợ đầu kỳ</t>
  </si>
  <si>
    <t>Lãi phát sinh</t>
  </si>
  <si>
    <t>Trả nợ:</t>
  </si>
  <si>
    <t xml:space="preserve">  + Trả lãi</t>
  </si>
  <si>
    <t xml:space="preserve">  + Trả gốc</t>
  </si>
  <si>
    <t>Nợ cuối kỳ</t>
  </si>
  <si>
    <t>Lãi phát sinh trong kỳ = Nợ đầu kỳ*lãi suất</t>
  </si>
  <si>
    <t>Nợ cuối kỳ=Nợ đầu kỳ - trả gốc</t>
  </si>
  <si>
    <t>b. Trả nợ đều (gốc+lãi)</t>
  </si>
  <si>
    <t>c. Được ân hạn trả gốc 1 năm, sau đó trả gốc đều</t>
  </si>
  <si>
    <t>d. Ân hạn trả nợ 1 năm</t>
  </si>
  <si>
    <t>DỰ ÁN MÁ NUÔI HEO</t>
  </si>
  <si>
    <t>Dòng tiền vào</t>
  </si>
  <si>
    <t>Dòng tiền ra</t>
  </si>
  <si>
    <t>Dòng tiền ròng NCFt</t>
  </si>
  <si>
    <t>Bỏ ra</t>
  </si>
  <si>
    <t>Thu về</t>
  </si>
  <si>
    <t>Lời</t>
  </si>
  <si>
    <t xml:space="preserve">Bà Mỹ Ngọc chịu vay </t>
  </si>
  <si>
    <t>NPV</t>
  </si>
  <si>
    <t>1&lt;3</t>
  </si>
  <si>
    <t>-0,96&lt;0</t>
  </si>
  <si>
    <t>NPV=</t>
  </si>
  <si>
    <t>NPV&gt;0: có hiệu quả</t>
  </si>
  <si>
    <t>NPV&lt;0: ko hiệu quả</t>
  </si>
  <si>
    <t>IRR=</t>
  </si>
  <si>
    <t>Tỷ suất sinh lời</t>
  </si>
  <si>
    <t>Suất sinh lời bèo nhất (suất chiết khấu l chi phí sử dụng vốn) r</t>
  </si>
  <si>
    <t>IRR&gt;r: có hiệu quả</t>
  </si>
  <si>
    <t>IRR&lt;r: không hiệu quả</t>
  </si>
  <si>
    <t>3. Thời gian hoàn vốn</t>
  </si>
  <si>
    <t>Luỹ kế</t>
  </si>
  <si>
    <t>Số năm</t>
  </si>
  <si>
    <t>Số tháng</t>
  </si>
  <si>
    <t>Thời gian hoàn vốn chưa chiết khấu</t>
  </si>
  <si>
    <t>Suất chiết khấu r=</t>
  </si>
  <si>
    <t>Hiện giá dòng tiền: NCFt/(1+r)^t</t>
  </si>
  <si>
    <t>Thời gian hoàn vốn có chiết khấu</t>
  </si>
  <si>
    <t>Chưa CK</t>
  </si>
  <si>
    <t>Có CK</t>
  </si>
  <si>
    <t>Quan điểm tổng đầu tư TIPV</t>
  </si>
  <si>
    <t>Vay (r=10%)</t>
  </si>
  <si>
    <t>NCFt -TIPV</t>
  </si>
  <si>
    <t>NCFt - EVP</t>
  </si>
  <si>
    <t>Suất chiết khấu</t>
  </si>
  <si>
    <t xml:space="preserve">  =&gt; Lãi kỳ vọng (re)</t>
  </si>
  <si>
    <t>Vốn chủ E</t>
  </si>
  <si>
    <t>Vốn vay D</t>
  </si>
  <si>
    <t xml:space="preserve"> =&gt; Lãi vay (rd)</t>
  </si>
  <si>
    <t>r(TIPV)=re*E%+rd*D%=16%*40%+10%*60%</t>
  </si>
  <si>
    <t>r(EPV)=re=</t>
  </si>
  <si>
    <t>NPV(TIPV)</t>
  </si>
  <si>
    <t>IRR(TIPV)</t>
  </si>
  <si>
    <t>&gt;0</t>
  </si>
  <si>
    <t>&gt;</t>
  </si>
  <si>
    <t>NPV(EPV)</t>
  </si>
  <si>
    <t>IRR(EPV)</t>
  </si>
  <si>
    <t xml:space="preserve">&gt;  </t>
  </si>
  <si>
    <t>I. THÔNG SỐ</t>
  </si>
  <si>
    <t>1. CP đầu tư ban đầu</t>
  </si>
  <si>
    <t>a. CP cố định</t>
  </si>
  <si>
    <t>+ Đất/đặt cọc</t>
  </si>
  <si>
    <t>tr</t>
  </si>
  <si>
    <t xml:space="preserve"> ' Xây dựng</t>
  </si>
  <si>
    <t xml:space="preserve"> Thiết bị</t>
  </si>
  <si>
    <t xml:space="preserve"> Khác</t>
  </si>
  <si>
    <t>b. Vốn lưu động (TM)</t>
  </si>
  <si>
    <t>2. Nguồn vốn</t>
  </si>
  <si>
    <t>Vốn CSH</t>
  </si>
  <si>
    <t>Lãi kỳ vọng</t>
  </si>
  <si>
    <t>Vốn vay</t>
  </si>
  <si>
    <t>Lãi vay</t>
  </si>
  <si>
    <t>3. Thời gian khấu hao và dòng đời dự án</t>
  </si>
  <si>
    <t>4. Doanh thu</t>
  </si>
  <si>
    <t>Sản lượng:</t>
  </si>
  <si>
    <t>ly/ngày</t>
  </si>
  <si>
    <t>Giá</t>
  </si>
  <si>
    <t>Doanh thu</t>
  </si>
  <si>
    <t>5. CP hoạt động</t>
  </si>
  <si>
    <t>Biến phí</t>
  </si>
  <si>
    <t>Định phí</t>
  </si>
  <si>
    <t>CP hoạt động</t>
  </si>
  <si>
    <t>6. Vốn lưu động</t>
  </si>
  <si>
    <t>Tồn kho (AI)</t>
  </si>
  <si>
    <t>doanh thu</t>
  </si>
  <si>
    <t>Phải thu (AR)</t>
  </si>
  <si>
    <t>Phải trả (AP)</t>
  </si>
  <si>
    <t>7. Giá trị thu hồi</t>
  </si>
  <si>
    <t>Đất/ đặt cọc</t>
  </si>
  <si>
    <t>Thanh lý TSCĐ sau thuế</t>
  </si>
  <si>
    <t>8. Thuế TNDN</t>
  </si>
  <si>
    <t>9. Suất chiết khấu (r )</t>
  </si>
  <si>
    <t>TIPV: r=E%*re%+D%*rd%</t>
  </si>
  <si>
    <t>EPV: r=re=</t>
  </si>
  <si>
    <t>II. KẾ HOẠCH TÀI CHÍNH</t>
  </si>
  <si>
    <t>1. KH vay và trả nợ</t>
  </si>
  <si>
    <t>Thu hồi vốn lưu động ban</t>
  </si>
  <si>
    <t>(trả nợ đều)</t>
  </si>
  <si>
    <t>Nợ đầu năm</t>
  </si>
  <si>
    <t xml:space="preserve"> '+Trả lãi</t>
  </si>
  <si>
    <t xml:space="preserve"> '+ Trả gốc</t>
  </si>
  <si>
    <t>Nợ cuối năm</t>
  </si>
  <si>
    <t>2. Kế hoạch lời/lỗ</t>
  </si>
  <si>
    <t>KH</t>
  </si>
  <si>
    <t>S</t>
  </si>
  <si>
    <t>O=V+F</t>
  </si>
  <si>
    <t xml:space="preserve">   Biến phí</t>
  </si>
  <si>
    <t>V</t>
  </si>
  <si>
    <t xml:space="preserve">   Định phí</t>
  </si>
  <si>
    <t>F</t>
  </si>
  <si>
    <t>(-) Khấu hao</t>
  </si>
  <si>
    <t>LN trước thuế và lãi vay</t>
  </si>
  <si>
    <t>De</t>
  </si>
  <si>
    <t>EBIT=S-O-De</t>
  </si>
  <si>
    <t>(-) CP hoạt động, trong đó</t>
  </si>
  <si>
    <t>(-) Trả lãi</t>
  </si>
  <si>
    <t>I</t>
  </si>
  <si>
    <t xml:space="preserve">LN trước thuế  </t>
  </si>
  <si>
    <t>EBT=EBIT-I</t>
  </si>
  <si>
    <t>(-) Thuế TNDN</t>
  </si>
  <si>
    <t>T=EBT*20%</t>
  </si>
  <si>
    <t>LN sau thuế</t>
  </si>
  <si>
    <t>EAT=EBT-T</t>
  </si>
  <si>
    <t>3. Vốn lưu động</t>
  </si>
  <si>
    <t>Tiền mặt (CB)</t>
  </si>
  <si>
    <t>VLĐ=AI+AR+CB-AP</t>
  </si>
  <si>
    <t>Thay đổi AI</t>
  </si>
  <si>
    <t>Thay đổi AR</t>
  </si>
  <si>
    <t>Thay đổi CB</t>
  </si>
  <si>
    <t>Thay đổi AP</t>
  </si>
  <si>
    <t>Thay đổi VLĐ</t>
  </si>
  <si>
    <t>4. Dòng tiền theo quan điểm chủ sở hữu</t>
  </si>
  <si>
    <t xml:space="preserve">  Doanh thu</t>
  </si>
  <si>
    <t xml:space="preserve"> (-) thay đổi AR</t>
  </si>
  <si>
    <t xml:space="preserve"> Vốn vay</t>
  </si>
  <si>
    <t xml:space="preserve"> Đất/ đặt cọc</t>
  </si>
  <si>
    <t xml:space="preserve"> Thanh lý TSCĐ sau thuế</t>
  </si>
  <si>
    <t xml:space="preserve"> Thu hồi vốn lưu động ban</t>
  </si>
  <si>
    <t xml:space="preserve"> CP đầu tư ban đầu</t>
  </si>
  <si>
    <t xml:space="preserve"> CP hoạt động</t>
  </si>
  <si>
    <t xml:space="preserve"> (-) thay đổi AP</t>
  </si>
  <si>
    <t xml:space="preserve">  thay đổi AI</t>
  </si>
  <si>
    <t xml:space="preserve"> Thay đổi CB</t>
  </si>
  <si>
    <t xml:space="preserve"> Thuế TNDN</t>
  </si>
  <si>
    <t xml:space="preserve"> Trả nợ</t>
  </si>
  <si>
    <t>Dòng tiền ròng NCFt=vào-ra</t>
  </si>
  <si>
    <t>III. HIỆU QUẢ TÀI CHÍNH</t>
  </si>
  <si>
    <t>1. Hiện giá thuần NPV</t>
  </si>
  <si>
    <t>2. IRR</t>
  </si>
  <si>
    <t>3. Thời gian hoàn vốn PP</t>
  </si>
  <si>
    <t>PP chưa có chiết khấu</t>
  </si>
  <si>
    <t>PP chưa chiết khấu</t>
  </si>
  <si>
    <t>Luỹ kê</t>
  </si>
  <si>
    <t>PP có chiết khấu</t>
  </si>
  <si>
    <t>&gt;0: có hiệu quả</t>
  </si>
  <si>
    <t>&gt; 20%: có hiệu quả</t>
  </si>
  <si>
    <t>IV. PHÂN TÍCH ĐỘ NHẠY</t>
  </si>
  <si>
    <t>1. Thay đổi của NPV khi sản lượng và giá bán thay đổi</t>
  </si>
  <si>
    <t>Giá ban</t>
  </si>
  <si>
    <t>2. Thay đổi IRR khi biến phí và giá bán thay đổi</t>
  </si>
  <si>
    <t>V. PHÂN TÍCH ĐIỂM HOÀ VỐN</t>
  </si>
  <si>
    <t xml:space="preserve">Năm </t>
  </si>
  <si>
    <t>Định phí, trong đó:</t>
  </si>
  <si>
    <t xml:space="preserve"> Định phí hoạt động</t>
  </si>
  <si>
    <t xml:space="preserve"> Khâu hao</t>
  </si>
  <si>
    <t xml:space="preserve"> Lãi vay</t>
  </si>
  <si>
    <t>Biến phi</t>
  </si>
  <si>
    <t>Doanh thu kế hoạch</t>
  </si>
  <si>
    <t>Doanh thu hoà vốn</t>
  </si>
  <si>
    <t>VI. PHÂN TÍCH KỊCH BẢN</t>
  </si>
  <si>
    <t>Nội dung thay đổi</t>
  </si>
  <si>
    <t>Giả định ban đầu</t>
  </si>
  <si>
    <t>CP thiết bị</t>
  </si>
  <si>
    <t>Sản lượng</t>
  </si>
  <si>
    <t>Giá bán</t>
  </si>
  <si>
    <t>Kết quả:</t>
  </si>
  <si>
    <t>IRR</t>
  </si>
  <si>
    <t>PP chưa CK</t>
  </si>
  <si>
    <t>PP có CK</t>
  </si>
  <si>
    <t>Kịch bản 1</t>
  </si>
  <si>
    <t>Kịch bản 2</t>
  </si>
  <si>
    <t>Kịch bản 3</t>
  </si>
  <si>
    <t>$B$6</t>
  </si>
  <si>
    <t>$B$16</t>
  </si>
  <si>
    <t>$C$18</t>
  </si>
  <si>
    <t>$B$22</t>
  </si>
  <si>
    <t>$C$23</t>
  </si>
  <si>
    <t>$B$98</t>
  </si>
  <si>
    <t>$B$99</t>
  </si>
  <si>
    <t>$B$101</t>
  </si>
  <si>
    <t>$B$102</t>
  </si>
  <si>
    <t>Created by Huynh Thanh Dien on 11/25/2019
Modified by Huynh Thanh Dien on 11/25/2019</t>
  </si>
  <si>
    <t>Created by Huynh Thanh Dien on 11/25/2019</t>
  </si>
  <si>
    <t>Scenario Summary</t>
  </si>
  <si>
    <t>Changing Cells:</t>
  </si>
  <si>
    <t>Current Values:</t>
  </si>
  <si>
    <t>Result Cells:</t>
  </si>
  <si>
    <t>Notes:  Current Values column represents values of changing cells at</t>
  </si>
  <si>
    <t>time Scenario Summary Report was created.  Changing cells for each</t>
  </si>
  <si>
    <t>scenario are highlighted in gray.</t>
  </si>
  <si>
    <t>1. Phân tích điểm hoà vốn theo quan điểm toán</t>
  </si>
  <si>
    <t>2. Phân tích theo quan điểm kinh tế</t>
  </si>
  <si>
    <t>Sản lượng hoặc doanh thu tại đó NPV =0</t>
  </si>
  <si>
    <t xml:space="preserve">SẢN LƯỢNG    </t>
  </si>
  <si>
    <t xml:space="preserve">DOANH THU </t>
  </si>
  <si>
    <t>TẠI NPV=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</si>
</sst>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&quot;$&quot;#,##0.00;[Red]\-&quot;$&quot;#,##0.00"/>
    <numFmt numFmtId="43" formatCode="_-* #,##0.00_-;\-* #,##0.00_-;_-* &quot;-&quot;??_-;_-@_-"/>
    <numFmt numFmtId="164" formatCode="0\ &quot;năm&quot;"/>
    <numFmt numFmtId="165" formatCode="0\ &quot;tháng&quot;"/>
    <numFmt numFmtId="166" formatCode="0.000%"/>
    <numFmt numFmtId="167" formatCode="&quot;Tăng&quot;\ 0%\ &quot;năm&quot;"/>
    <numFmt numFmtId="168" formatCode="_-* #,##0.0000_-;\-* #,##0.0000_-;_-* &quot;-&quot;??_-;_-@_-"/>
    <numFmt numFmtId="169" formatCode="0%\ &quot;DT&quot;"/>
    <numFmt numFmtId="170" formatCode="_-* #,##0_-;\-* #,##0_-;_-* &quot;-&quot;??_-;_-@_-"/>
    <numFmt numFmtId="171" formatCode="0%\ &quot;/năm&quot;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color theme="1"/>
      <name val="Calibri"/>
      <scheme val="minor"/>
    </font>
    <font>
      <sz val="12"/>
      <color rgb="FFFF6600"/>
      <name val="Calibri"/>
      <scheme val="minor"/>
    </font>
    <font>
      <sz val="9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9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14">
    <xf numFmtId="0" fontId="0" fillId="0" borderId="0" xfId="0"/>
    <xf numFmtId="0" fontId="4" fillId="0" borderId="0" xfId="0" applyFont="1"/>
    <xf numFmtId="9" fontId="0" fillId="0" borderId="0" xfId="0" applyNumberFormat="1"/>
    <xf numFmtId="8" fontId="0" fillId="0" borderId="0" xfId="0" applyNumberFormat="1"/>
    <xf numFmtId="43" fontId="0" fillId="0" borderId="0" xfId="1" applyFont="1"/>
    <xf numFmtId="0" fontId="0" fillId="2" borderId="0" xfId="0" applyFill="1"/>
    <xf numFmtId="0" fontId="0" fillId="0" borderId="0" xfId="0" quotePrefix="1"/>
    <xf numFmtId="43" fontId="0" fillId="2" borderId="0" xfId="1" applyFont="1" applyFill="1"/>
    <xf numFmtId="0" fontId="0" fillId="3" borderId="0" xfId="0" applyFill="1"/>
    <xf numFmtId="43" fontId="0" fillId="0" borderId="0" xfId="0" applyNumberFormat="1"/>
    <xf numFmtId="9" fontId="0" fillId="0" borderId="0" xfId="2" applyFont="1"/>
    <xf numFmtId="10" fontId="0" fillId="0" borderId="0" xfId="2" applyNumberFormat="1" applyFont="1"/>
    <xf numFmtId="0" fontId="5" fillId="0" borderId="0" xfId="0" applyFont="1"/>
    <xf numFmtId="43" fontId="5" fillId="0" borderId="0" xfId="0" applyNumberFormat="1" applyFont="1"/>
    <xf numFmtId="0" fontId="3" fillId="0" borderId="0" xfId="0" applyFont="1"/>
    <xf numFmtId="43" fontId="3" fillId="0" borderId="0" xfId="1" applyFont="1"/>
    <xf numFmtId="0" fontId="8" fillId="0" borderId="0" xfId="0" applyFont="1"/>
    <xf numFmtId="9" fontId="3" fillId="0" borderId="0" xfId="0" applyNumberFormat="1" applyFont="1"/>
    <xf numFmtId="0" fontId="4" fillId="3" borderId="0" xfId="0" applyFont="1" applyFill="1"/>
    <xf numFmtId="43" fontId="0" fillId="3" borderId="0" xfId="0" applyNumberFormat="1" applyFill="1"/>
    <xf numFmtId="43" fontId="4" fillId="0" borderId="0" xfId="1" applyFont="1"/>
    <xf numFmtId="164" fontId="0" fillId="3" borderId="0" xfId="0" applyNumberFormat="1" applyFill="1"/>
    <xf numFmtId="165" fontId="0" fillId="3" borderId="0" xfId="0" applyNumberFormat="1" applyFill="1"/>
    <xf numFmtId="43" fontId="0" fillId="3" borderId="0" xfId="1" applyFont="1" applyFill="1"/>
    <xf numFmtId="9" fontId="0" fillId="3" borderId="0" xfId="0" applyNumberFormat="1" applyFill="1"/>
    <xf numFmtId="9" fontId="0" fillId="3" borderId="0" xfId="2" applyFont="1" applyFill="1"/>
    <xf numFmtId="166" fontId="0" fillId="0" borderId="0" xfId="0" applyNumberFormat="1"/>
    <xf numFmtId="169" fontId="0" fillId="0" borderId="0" xfId="0" applyNumberFormat="1"/>
    <xf numFmtId="170" fontId="0" fillId="0" borderId="0" xfId="1" applyNumberFormat="1" applyFont="1"/>
    <xf numFmtId="9" fontId="4" fillId="0" borderId="0" xfId="0" applyNumberFormat="1" applyFont="1"/>
    <xf numFmtId="0" fontId="0" fillId="0" borderId="0" xfId="0" applyFont="1"/>
    <xf numFmtId="43" fontId="5" fillId="0" borderId="0" xfId="1" applyFont="1"/>
    <xf numFmtId="0" fontId="9" fillId="0" borderId="0" xfId="0" applyFont="1"/>
    <xf numFmtId="43" fontId="9" fillId="0" borderId="0" xfId="1" applyFont="1"/>
    <xf numFmtId="43" fontId="4" fillId="0" borderId="0" xfId="0" applyNumberFormat="1" applyFont="1"/>
    <xf numFmtId="164" fontId="0" fillId="0" borderId="0" xfId="0" applyNumberFormat="1"/>
    <xf numFmtId="0" fontId="4" fillId="0" borderId="0" xfId="0" applyFont="1" applyFill="1"/>
    <xf numFmtId="0" fontId="0" fillId="4" borderId="0" xfId="0" applyFill="1"/>
    <xf numFmtId="169" fontId="0" fillId="4" borderId="0" xfId="0" applyNumberFormat="1" applyFill="1"/>
    <xf numFmtId="0" fontId="10" fillId="0" borderId="0" xfId="0" applyFont="1" applyAlignment="1">
      <alignment vertical="top" wrapText="1"/>
    </xf>
    <xf numFmtId="0" fontId="0" fillId="0" borderId="1" xfId="0" applyBorder="1"/>
    <xf numFmtId="167" fontId="0" fillId="2" borderId="1" xfId="0" applyNumberFormat="1" applyFill="1" applyBorder="1"/>
    <xf numFmtId="0" fontId="0" fillId="2" borderId="1" xfId="0" applyFill="1" applyBorder="1"/>
    <xf numFmtId="168" fontId="0" fillId="0" borderId="1" xfId="1" applyNumberFormat="1" applyFont="1" applyBorder="1"/>
    <xf numFmtId="0" fontId="4" fillId="0" borderId="1" xfId="0" applyFont="1" applyBorder="1"/>
    <xf numFmtId="170" fontId="4" fillId="0" borderId="1" xfId="1" applyNumberFormat="1" applyFont="1" applyBorder="1"/>
    <xf numFmtId="169" fontId="0" fillId="2" borderId="1" xfId="0" applyNumberFormat="1" applyFill="1" applyBorder="1"/>
    <xf numFmtId="170" fontId="0" fillId="0" borderId="1" xfId="0" applyNumberFormat="1" applyBorder="1"/>
    <xf numFmtId="171" fontId="0" fillId="2" borderId="1" xfId="0" applyNumberFormat="1" applyFill="1" applyBorder="1"/>
    <xf numFmtId="170" fontId="0" fillId="2" borderId="1" xfId="0" applyNumberFormat="1" applyFill="1" applyBorder="1"/>
    <xf numFmtId="170" fontId="4" fillId="0" borderId="1" xfId="0" applyNumberFormat="1" applyFont="1" applyBorder="1"/>
    <xf numFmtId="0" fontId="4" fillId="0" borderId="2" xfId="0" applyFont="1" applyBorder="1"/>
    <xf numFmtId="9" fontId="0" fillId="0" borderId="2" xfId="0" applyNumberFormat="1" applyBorder="1"/>
    <xf numFmtId="0" fontId="0" fillId="0" borderId="2" xfId="0" applyBorder="1"/>
    <xf numFmtId="0" fontId="4" fillId="0" borderId="3" xfId="0" applyFont="1" applyBorder="1"/>
    <xf numFmtId="0" fontId="0" fillId="0" borderId="2" xfId="0" applyFont="1" applyBorder="1"/>
    <xf numFmtId="43" fontId="0" fillId="0" borderId="2" xfId="1" applyFont="1" applyBorder="1"/>
    <xf numFmtId="0" fontId="0" fillId="0" borderId="3" xfId="0" applyFont="1" applyBorder="1"/>
    <xf numFmtId="0" fontId="0" fillId="0" borderId="3" xfId="0" applyBorder="1"/>
    <xf numFmtId="0" fontId="0" fillId="0" borderId="0" xfId="0" applyFont="1" applyBorder="1"/>
    <xf numFmtId="0" fontId="0" fillId="0" borderId="0" xfId="0" applyBorder="1"/>
    <xf numFmtId="43" fontId="0" fillId="0" borderId="0" xfId="0" applyNumberFormat="1" applyBorder="1"/>
    <xf numFmtId="43" fontId="4" fillId="0" borderId="2" xfId="0" applyNumberFormat="1" applyFont="1" applyBorder="1"/>
    <xf numFmtId="0" fontId="4" fillId="0" borderId="4" xfId="0" applyFont="1" applyBorder="1"/>
    <xf numFmtId="170" fontId="0" fillId="0" borderId="2" xfId="1" applyNumberFormat="1" applyFont="1" applyBorder="1"/>
    <xf numFmtId="43" fontId="4" fillId="0" borderId="4" xfId="1" applyFont="1" applyBorder="1"/>
    <xf numFmtId="43" fontId="4" fillId="0" borderId="3" xfId="0" applyNumberFormat="1" applyFont="1" applyBorder="1"/>
    <xf numFmtId="0" fontId="5" fillId="0" borderId="5" xfId="0" applyFont="1" applyBorder="1"/>
    <xf numFmtId="43" fontId="5" fillId="0" borderId="5" xfId="0" applyNumberFormat="1" applyFont="1" applyBorder="1"/>
    <xf numFmtId="0" fontId="4" fillId="2" borderId="6" xfId="0" applyFont="1" applyFill="1" applyBorder="1"/>
    <xf numFmtId="43" fontId="4" fillId="2" borderId="7" xfId="0" applyNumberFormat="1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9" fontId="4" fillId="2" borderId="0" xfId="0" applyNumberFormat="1" applyFont="1" applyFill="1" applyBorder="1"/>
    <xf numFmtId="0" fontId="4" fillId="2" borderId="0" xfId="0" applyFont="1" applyFill="1" applyBorder="1"/>
    <xf numFmtId="0" fontId="4" fillId="2" borderId="10" xfId="0" applyFont="1" applyFill="1" applyBorder="1"/>
    <xf numFmtId="0" fontId="0" fillId="2" borderId="0" xfId="0" applyFill="1" applyBorder="1"/>
    <xf numFmtId="0" fontId="0" fillId="2" borderId="10" xfId="0" applyFill="1" applyBorder="1"/>
    <xf numFmtId="164" fontId="0" fillId="2" borderId="0" xfId="0" applyNumberFormat="1" applyFill="1" applyBorder="1"/>
    <xf numFmtId="165" fontId="0" fillId="2" borderId="0" xfId="0" applyNumberFormat="1" applyFill="1" applyBorder="1"/>
    <xf numFmtId="0" fontId="4" fillId="2" borderId="11" xfId="0" applyFont="1" applyFill="1" applyBorder="1"/>
    <xf numFmtId="164" fontId="0" fillId="2" borderId="5" xfId="0" applyNumberFormat="1" applyFill="1" applyBorder="1"/>
    <xf numFmtId="165" fontId="0" fillId="2" borderId="5" xfId="0" applyNumberFormat="1" applyFill="1" applyBorder="1"/>
    <xf numFmtId="0" fontId="0" fillId="2" borderId="12" xfId="0" applyFill="1" applyBorder="1"/>
    <xf numFmtId="43" fontId="0" fillId="0" borderId="1" xfId="0" applyNumberFormat="1" applyBorder="1"/>
    <xf numFmtId="43" fontId="0" fillId="0" borderId="1" xfId="1" applyFont="1" applyBorder="1"/>
    <xf numFmtId="43" fontId="0" fillId="2" borderId="1" xfId="1" applyFont="1" applyFill="1" applyBorder="1"/>
    <xf numFmtId="0" fontId="0" fillId="0" borderId="1" xfId="0" applyFill="1" applyBorder="1"/>
    <xf numFmtId="43" fontId="0" fillId="0" borderId="1" xfId="1" applyFont="1" applyFill="1" applyBorder="1"/>
    <xf numFmtId="9" fontId="0" fillId="0" borderId="1" xfId="0" applyNumberFormat="1" applyBorder="1"/>
    <xf numFmtId="0" fontId="4" fillId="2" borderId="1" xfId="0" applyFont="1" applyFill="1" applyBorder="1"/>
    <xf numFmtId="9" fontId="4" fillId="0" borderId="1" xfId="2" applyFont="1" applyBorder="1"/>
    <xf numFmtId="10" fontId="0" fillId="0" borderId="1" xfId="2" applyNumberFormat="1" applyFont="1" applyBorder="1"/>
    <xf numFmtId="9" fontId="4" fillId="2" borderId="1" xfId="2" applyFont="1" applyFill="1" applyBorder="1"/>
    <xf numFmtId="10" fontId="0" fillId="2" borderId="1" xfId="2" applyNumberFormat="1" applyFont="1" applyFill="1" applyBorder="1"/>
    <xf numFmtId="0" fontId="0" fillId="0" borderId="13" xfId="0" applyFont="1" applyBorder="1"/>
    <xf numFmtId="43" fontId="0" fillId="0" borderId="13" xfId="1" applyFont="1" applyBorder="1"/>
    <xf numFmtId="0" fontId="0" fillId="0" borderId="5" xfId="0" applyFont="1" applyBorder="1"/>
    <xf numFmtId="43" fontId="1" fillId="0" borderId="5" xfId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5" xfId="0" applyFill="1" applyBorder="1"/>
    <xf numFmtId="0" fontId="0" fillId="0" borderId="5" xfId="0" applyBorder="1"/>
    <xf numFmtId="0" fontId="0" fillId="0" borderId="12" xfId="0" applyBorder="1"/>
    <xf numFmtId="0" fontId="0" fillId="0" borderId="13" xfId="0" applyBorder="1"/>
    <xf numFmtId="43" fontId="0" fillId="0" borderId="13" xfId="0" applyNumberFormat="1" applyBorder="1"/>
    <xf numFmtId="9" fontId="0" fillId="0" borderId="0" xfId="0" applyNumberFormat="1" applyBorder="1"/>
    <xf numFmtId="164" fontId="0" fillId="0" borderId="0" xfId="0" applyNumberFormat="1" applyBorder="1"/>
    <xf numFmtId="164" fontId="0" fillId="0" borderId="5" xfId="0" applyNumberFormat="1" applyBorder="1"/>
  </cellXfs>
  <cellStyles count="19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185914260717"/>
          <c:y val="0.0601851851851852"/>
          <c:w val="0.811356955380577"/>
          <c:h val="0.822469378827647"/>
        </c:manualLayout>
      </c:layout>
      <c:lineChart>
        <c:grouping val="standard"/>
        <c:varyColors val="0"/>
        <c:ser>
          <c:idx val="0"/>
          <c:order val="0"/>
          <c:tx>
            <c:strRef>
              <c:f>'Phan tich'!$A$142</c:f>
              <c:strCache>
                <c:ptCount val="1"/>
                <c:pt idx="0">
                  <c:v>Doanh thu kế hoạch</c:v>
                </c:pt>
              </c:strCache>
            </c:strRef>
          </c:tx>
          <c:val>
            <c:numRef>
              <c:f>'Phan tich'!$B$142:$E$142</c:f>
              <c:numCache>
                <c:formatCode>_-* #,##0.00_-;\-* #,##0.00_-;_-* "-"??_-;_-@_-</c:formatCode>
                <c:ptCount val="4"/>
                <c:pt idx="0">
                  <c:v>1188.0</c:v>
                </c:pt>
                <c:pt idx="1">
                  <c:v>1247.4</c:v>
                </c:pt>
                <c:pt idx="2">
                  <c:v>1309.77</c:v>
                </c:pt>
                <c:pt idx="3">
                  <c:v>1375.2585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'Phan tich'!$A$143</c:f>
              <c:strCache>
                <c:ptCount val="1"/>
                <c:pt idx="0">
                  <c:v>Doanh thu hoà vốn</c:v>
                </c:pt>
              </c:strCache>
            </c:strRef>
          </c:tx>
          <c:val>
            <c:numRef>
              <c:f>'Phan tich'!$B$143:$E$143</c:f>
              <c:numCache>
                <c:formatCode>_-* #,##0.00_-;\-* #,##0.00_-;_-* "-"??_-;_-@_-</c:formatCode>
                <c:ptCount val="4"/>
                <c:pt idx="0">
                  <c:v>1075.384615384615</c:v>
                </c:pt>
                <c:pt idx="1">
                  <c:v>1118.412212222167</c:v>
                </c:pt>
                <c:pt idx="2">
                  <c:v>1163.342568743474</c:v>
                </c:pt>
                <c:pt idx="3">
                  <c:v>1210.245960916911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1950904"/>
        <c:axId val="2130215800"/>
      </c:lineChart>
      <c:catAx>
        <c:axId val="2121950904"/>
        <c:scaling>
          <c:orientation val="minMax"/>
        </c:scaling>
        <c:delete val="0"/>
        <c:axPos val="b"/>
        <c:majorTickMark val="out"/>
        <c:minorTickMark val="none"/>
        <c:tickLblPos val="nextTo"/>
        <c:crossAx val="2130215800"/>
        <c:crosses val="autoZero"/>
        <c:auto val="1"/>
        <c:lblAlgn val="ctr"/>
        <c:lblOffset val="100"/>
        <c:noMultiLvlLbl val="0"/>
      </c:catAx>
      <c:valAx>
        <c:axId val="2130215800"/>
        <c:scaling>
          <c:orientation val="minMax"/>
        </c:scaling>
        <c:delete val="0"/>
        <c:axPos val="l"/>
        <c:majorGridlines/>
        <c:numFmt formatCode="_-* #,##0.00_-;\-* #,##0.00_-;_-* &quot;-&quot;??_-;_-@_-" sourceLinked="1"/>
        <c:majorTickMark val="out"/>
        <c:minorTickMark val="none"/>
        <c:tickLblPos val="nextTo"/>
        <c:crossAx val="21219509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203199</xdr:colOff>
      <xdr:row>143</xdr:row>
      <xdr:rowOff>71967</xdr:rowOff>
    </xdr:from>
    <xdr:to>
      <xdr:col>4</xdr:col>
      <xdr:colOff>711199</xdr:colOff>
      <xdr:row>157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372533</xdr:colOff>
      <xdr:row>18</xdr:row>
      <xdr:rowOff>143933</xdr:rowOff>
    </xdr:from>
    <xdr:to>
      <xdr:col>6</xdr:col>
      <xdr:colOff>25400</xdr:colOff>
      <xdr:row>19</xdr:row>
      <xdr:rowOff>110067</xdr:rowOff>
    </xdr:to>
    <xdr:cxnSp macro="">
      <xdr:nvCxnSpPr>
        <xdr:cNvPr id="3" name="Straight Arrow Connector 2"/>
        <xdr:cNvCxnSpPr/>
      </xdr:nvCxnSpPr>
      <xdr:spPr>
        <a:xfrm>
          <a:off x="5029200" y="3649133"/>
          <a:ext cx="482600" cy="160867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575734</xdr:colOff>
      <xdr:row>17</xdr:row>
      <xdr:rowOff>33866</xdr:rowOff>
    </xdr:from>
    <xdr:to>
      <xdr:col>6</xdr:col>
      <xdr:colOff>50800</xdr:colOff>
      <xdr:row>20</xdr:row>
      <xdr:rowOff>118533</xdr:rowOff>
    </xdr:to>
    <xdr:cxnSp macro="">
      <xdr:nvCxnSpPr>
        <xdr:cNvPr id="5" name="Straight Arrow Connector 4"/>
        <xdr:cNvCxnSpPr/>
      </xdr:nvCxnSpPr>
      <xdr:spPr>
        <a:xfrm>
          <a:off x="4402667" y="3344333"/>
          <a:ext cx="1134533" cy="668867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135467</xdr:colOff>
      <xdr:row>16</xdr:row>
      <xdr:rowOff>186267</xdr:rowOff>
    </xdr:from>
    <xdr:to>
      <xdr:col>6</xdr:col>
      <xdr:colOff>67733</xdr:colOff>
      <xdr:row>21</xdr:row>
      <xdr:rowOff>135467</xdr:rowOff>
    </xdr:to>
    <xdr:cxnSp macro="">
      <xdr:nvCxnSpPr>
        <xdr:cNvPr id="7" name="Straight Arrow Connector 6"/>
        <xdr:cNvCxnSpPr/>
      </xdr:nvCxnSpPr>
      <xdr:spPr>
        <a:xfrm>
          <a:off x="3962400" y="3302000"/>
          <a:ext cx="1591733" cy="922867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728133</xdr:colOff>
      <xdr:row>16</xdr:row>
      <xdr:rowOff>177800</xdr:rowOff>
    </xdr:from>
    <xdr:to>
      <xdr:col>6</xdr:col>
      <xdr:colOff>50800</xdr:colOff>
      <xdr:row>22</xdr:row>
      <xdr:rowOff>177800</xdr:rowOff>
    </xdr:to>
    <xdr:cxnSp macro="">
      <xdr:nvCxnSpPr>
        <xdr:cNvPr id="9" name="Straight Arrow Connector 8"/>
        <xdr:cNvCxnSpPr/>
      </xdr:nvCxnSpPr>
      <xdr:spPr>
        <a:xfrm>
          <a:off x="2895600" y="3293533"/>
          <a:ext cx="2641600" cy="116840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13970</xdr:colOff>
      <xdr:row>40</xdr:row>
      <xdr:rowOff>30480</xdr:rowOff>
    </xdr:from>
    <xdr:to>
      <xdr:col>4</xdr:col>
      <xdr:colOff>3810</xdr:colOff>
      <xdr:row>40</xdr:row>
      <xdr:rowOff>101600</xdr:rowOff>
    </xdr:to>
    <xdr:cxnSp macro="">
      <xdr:nvCxnSpPr>
        <xdr:cNvPr id="11" name="Straight Arrow Connector 10"/>
        <xdr:cNvCxnSpPr/>
      </xdr:nvCxnSpPr>
      <xdr:spPr>
        <a:xfrm flipH="1">
          <a:off x="1347470" y="7650480"/>
          <a:ext cx="2466340" cy="7112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4"/>
  <sheetViews>
    <sheetView zoomScale="150" zoomScaleNormal="150" zoomScalePageLayoutView="150" workbookViewId="0">
      <selection activeCell="G146" sqref="G146"/>
    </sheetView>
  </sheetViews>
  <sheetFormatPr baseColWidth="10" defaultRowHeight="15" x14ac:dyDescent="0"/>
  <cols>
    <col min="1" max="1" width="19" customWidth="1"/>
    <col min="2" max="2" width="16.6640625" customWidth="1"/>
    <col min="3" max="3" width="12" customWidth="1"/>
  </cols>
  <sheetData>
    <row r="1" spans="1:3" s="1" customFormat="1">
      <c r="A1" s="1" t="s">
        <v>104</v>
      </c>
    </row>
    <row r="2" spans="1:3" s="1" customFormat="1">
      <c r="A2" s="1" t="s">
        <v>105</v>
      </c>
      <c r="B2" s="1">
        <f>B3+B8</f>
        <v>350</v>
      </c>
      <c r="C2" s="1" t="s">
        <v>108</v>
      </c>
    </row>
    <row r="3" spans="1:3" s="1" customFormat="1">
      <c r="A3" s="1" t="s">
        <v>106</v>
      </c>
      <c r="B3" s="1">
        <f>SUM(B4:B7)</f>
        <v>300</v>
      </c>
      <c r="C3" s="1" t="s">
        <v>108</v>
      </c>
    </row>
    <row r="4" spans="1:3">
      <c r="A4" s="6" t="s">
        <v>107</v>
      </c>
      <c r="B4">
        <f>20*3</f>
        <v>60</v>
      </c>
      <c r="C4" t="s">
        <v>108</v>
      </c>
    </row>
    <row r="5" spans="1:3">
      <c r="A5" t="s">
        <v>109</v>
      </c>
      <c r="B5">
        <v>100</v>
      </c>
      <c r="C5" t="s">
        <v>108</v>
      </c>
    </row>
    <row r="6" spans="1:3">
      <c r="A6" s="6" t="s">
        <v>110</v>
      </c>
      <c r="B6" s="5">
        <v>140</v>
      </c>
      <c r="C6" t="s">
        <v>108</v>
      </c>
    </row>
    <row r="7" spans="1:3">
      <c r="A7" t="s">
        <v>111</v>
      </c>
      <c r="C7" t="s">
        <v>108</v>
      </c>
    </row>
    <row r="8" spans="1:3" s="1" customFormat="1">
      <c r="A8" s="1" t="s">
        <v>112</v>
      </c>
      <c r="B8" s="1">
        <v>50</v>
      </c>
      <c r="C8" s="1" t="s">
        <v>108</v>
      </c>
    </row>
    <row r="9" spans="1:3" s="1" customFormat="1">
      <c r="A9" s="1" t="s">
        <v>113</v>
      </c>
    </row>
    <row r="10" spans="1:3">
      <c r="A10" t="s">
        <v>114</v>
      </c>
      <c r="B10">
        <v>200</v>
      </c>
      <c r="C10" t="s">
        <v>108</v>
      </c>
    </row>
    <row r="11" spans="1:3">
      <c r="A11" t="s">
        <v>115</v>
      </c>
      <c r="B11" s="2">
        <v>0.2</v>
      </c>
    </row>
    <row r="12" spans="1:3">
      <c r="A12" t="s">
        <v>116</v>
      </c>
      <c r="B12">
        <v>150</v>
      </c>
      <c r="C12" t="s">
        <v>108</v>
      </c>
    </row>
    <row r="13" spans="1:3">
      <c r="A13" t="s">
        <v>117</v>
      </c>
      <c r="B13" s="2">
        <v>0.1</v>
      </c>
    </row>
    <row r="14" spans="1:3" s="1" customFormat="1">
      <c r="A14" s="1" t="s">
        <v>118</v>
      </c>
      <c r="B14" s="1">
        <v>4</v>
      </c>
      <c r="C14" s="1" t="s">
        <v>43</v>
      </c>
    </row>
    <row r="15" spans="1:3" s="1" customFormat="1">
      <c r="A15" s="1" t="s">
        <v>119</v>
      </c>
    </row>
    <row r="16" spans="1:3">
      <c r="A16" t="s">
        <v>120</v>
      </c>
      <c r="B16" s="5">
        <v>220</v>
      </c>
      <c r="C16" t="s">
        <v>121</v>
      </c>
    </row>
    <row r="17" spans="1:6">
      <c r="A17" s="40" t="s">
        <v>45</v>
      </c>
      <c r="B17" s="40">
        <v>0</v>
      </c>
      <c r="C17" s="40">
        <v>1</v>
      </c>
      <c r="D17" s="40">
        <v>2</v>
      </c>
      <c r="E17" s="40">
        <v>3</v>
      </c>
      <c r="F17" s="40">
        <v>4</v>
      </c>
    </row>
    <row r="18" spans="1:6">
      <c r="A18" s="40" t="s">
        <v>122</v>
      </c>
      <c r="B18" s="41">
        <v>0.05</v>
      </c>
      <c r="C18" s="42">
        <v>1.4999999999999999E-2</v>
      </c>
      <c r="D18" s="43">
        <f>C18*(1+$B$18)</f>
        <v>1.575E-2</v>
      </c>
      <c r="E18" s="43">
        <f t="shared" ref="E18:F18" si="0">D18*(1+$B$18)</f>
        <v>1.65375E-2</v>
      </c>
      <c r="F18" s="43">
        <f t="shared" si="0"/>
        <v>1.7364375000000001E-2</v>
      </c>
    </row>
    <row r="19" spans="1:6" s="1" customFormat="1">
      <c r="A19" s="44" t="s">
        <v>123</v>
      </c>
      <c r="B19" s="44"/>
      <c r="C19" s="45">
        <f>$B$16*C18*30*12</f>
        <v>1188</v>
      </c>
      <c r="D19" s="45">
        <f t="shared" ref="D19:F19" si="1">$B$16*D18*30*12</f>
        <v>1247.3999999999999</v>
      </c>
      <c r="E19" s="45">
        <f t="shared" si="1"/>
        <v>1309.77</v>
      </c>
      <c r="F19" s="45">
        <f t="shared" si="1"/>
        <v>1375.2585000000001</v>
      </c>
    </row>
    <row r="20" spans="1:6" s="1" customFormat="1">
      <c r="A20" s="1" t="s">
        <v>124</v>
      </c>
    </row>
    <row r="21" spans="1:6">
      <c r="A21" s="40" t="s">
        <v>45</v>
      </c>
      <c r="B21" s="40">
        <v>0</v>
      </c>
      <c r="C21" s="40">
        <v>1</v>
      </c>
      <c r="D21" s="40">
        <v>2</v>
      </c>
      <c r="E21" s="40">
        <v>3</v>
      </c>
      <c r="F21" s="40">
        <v>4</v>
      </c>
    </row>
    <row r="22" spans="1:6">
      <c r="A22" s="40" t="s">
        <v>125</v>
      </c>
      <c r="B22" s="46">
        <v>0.35</v>
      </c>
      <c r="C22" s="47">
        <f>$B$22*C19</f>
        <v>415.79999999999995</v>
      </c>
      <c r="D22" s="47">
        <f t="shared" ref="D22:F22" si="2">$B$22*D19</f>
        <v>436.58999999999992</v>
      </c>
      <c r="E22" s="47">
        <f t="shared" si="2"/>
        <v>458.41949999999997</v>
      </c>
      <c r="F22" s="47">
        <f t="shared" si="2"/>
        <v>481.34047500000003</v>
      </c>
    </row>
    <row r="23" spans="1:6">
      <c r="A23" s="40" t="s">
        <v>126</v>
      </c>
      <c r="B23" s="48">
        <v>0.05</v>
      </c>
      <c r="C23" s="49">
        <v>624</v>
      </c>
      <c r="D23" s="47">
        <f>C23*(1+$B$23)</f>
        <v>655.20000000000005</v>
      </c>
      <c r="E23" s="47">
        <f t="shared" ref="E23:F23" si="3">D23*(1+$B$23)</f>
        <v>687.96</v>
      </c>
      <c r="F23" s="47">
        <f t="shared" si="3"/>
        <v>722.35800000000006</v>
      </c>
    </row>
    <row r="24" spans="1:6">
      <c r="A24" s="44" t="s">
        <v>127</v>
      </c>
      <c r="B24" s="44"/>
      <c r="C24" s="50">
        <f>C22+C23</f>
        <v>1039.8</v>
      </c>
      <c r="D24" s="50">
        <f t="shared" ref="D24:F24" si="4">D22+D23</f>
        <v>1091.79</v>
      </c>
      <c r="E24" s="50">
        <f t="shared" si="4"/>
        <v>1146.3795</v>
      </c>
      <c r="F24" s="50">
        <f t="shared" si="4"/>
        <v>1203.6984750000001</v>
      </c>
    </row>
    <row r="25" spans="1:6" s="1" customFormat="1">
      <c r="A25" s="1" t="s">
        <v>128</v>
      </c>
    </row>
    <row r="26" spans="1:6">
      <c r="A26" t="s">
        <v>129</v>
      </c>
      <c r="B26" s="2">
        <v>0.1</v>
      </c>
      <c r="C26" t="s">
        <v>130</v>
      </c>
    </row>
    <row r="27" spans="1:6">
      <c r="A27" t="s">
        <v>131</v>
      </c>
      <c r="B27" s="2">
        <v>0</v>
      </c>
      <c r="C27" t="str">
        <f>C26</f>
        <v>doanh thu</v>
      </c>
    </row>
    <row r="28" spans="1:6">
      <c r="A28" t="s">
        <v>132</v>
      </c>
      <c r="B28" s="2">
        <v>0.1</v>
      </c>
      <c r="C28" t="s">
        <v>125</v>
      </c>
    </row>
    <row r="29" spans="1:6" s="1" customFormat="1">
      <c r="A29" s="1" t="s">
        <v>133</v>
      </c>
    </row>
    <row r="30" spans="1:6">
      <c r="A30" t="s">
        <v>134</v>
      </c>
      <c r="B30">
        <f>B4</f>
        <v>60</v>
      </c>
      <c r="C30" t="s">
        <v>108</v>
      </c>
    </row>
    <row r="31" spans="1:6">
      <c r="A31" t="s">
        <v>135</v>
      </c>
      <c r="B31" s="28">
        <v>10</v>
      </c>
      <c r="C31" t="s">
        <v>108</v>
      </c>
    </row>
    <row r="32" spans="1:6">
      <c r="A32" t="s">
        <v>142</v>
      </c>
      <c r="B32" s="28">
        <f>B8</f>
        <v>50</v>
      </c>
      <c r="C32" t="s">
        <v>108</v>
      </c>
    </row>
    <row r="33" spans="1:7">
      <c r="A33" s="1" t="s">
        <v>136</v>
      </c>
      <c r="B33" s="29">
        <v>0.2</v>
      </c>
    </row>
    <row r="34" spans="1:7">
      <c r="A34" s="1" t="s">
        <v>137</v>
      </c>
      <c r="B34" s="1"/>
    </row>
    <row r="35" spans="1:7">
      <c r="A35" s="1" t="s">
        <v>138</v>
      </c>
      <c r="B35" s="11">
        <f>(B10/B2)*B11+(B12/B2)*B13</f>
        <v>0.15714285714285714</v>
      </c>
    </row>
    <row r="36" spans="1:7">
      <c r="A36" s="51" t="s">
        <v>139</v>
      </c>
      <c r="B36" s="52">
        <f>B11</f>
        <v>0.2</v>
      </c>
      <c r="C36" s="53"/>
      <c r="D36" s="53"/>
      <c r="E36" s="53"/>
      <c r="F36" s="53"/>
      <c r="G36" s="53"/>
    </row>
    <row r="37" spans="1:7">
      <c r="A37" s="1" t="s">
        <v>140</v>
      </c>
    </row>
    <row r="38" spans="1:7" s="1" customFormat="1">
      <c r="A38" s="1" t="s">
        <v>141</v>
      </c>
      <c r="B38" s="1" t="s">
        <v>143</v>
      </c>
    </row>
    <row r="39" spans="1:7" s="1" customFormat="1" ht="16" thickBot="1">
      <c r="A39" s="54" t="s">
        <v>45</v>
      </c>
      <c r="B39" s="54">
        <v>0</v>
      </c>
      <c r="C39" s="54">
        <v>1</v>
      </c>
      <c r="D39" s="54">
        <v>2</v>
      </c>
      <c r="E39" s="54">
        <v>3</v>
      </c>
      <c r="F39" s="54">
        <v>4</v>
      </c>
    </row>
    <row r="40" spans="1:7" s="30" customFormat="1">
      <c r="A40" s="30" t="s">
        <v>144</v>
      </c>
      <c r="C40" s="4">
        <f>B45</f>
        <v>150</v>
      </c>
      <c r="D40" s="4">
        <f t="shared" ref="D40:F40" si="5">C45</f>
        <v>117.67937944408533</v>
      </c>
      <c r="E40" s="4">
        <f t="shared" si="5"/>
        <v>82.126696832579185</v>
      </c>
      <c r="F40" s="4">
        <f t="shared" si="5"/>
        <v>43.018745959922434</v>
      </c>
    </row>
    <row r="41" spans="1:7" s="30" customFormat="1">
      <c r="A41" s="30" t="s">
        <v>47</v>
      </c>
      <c r="C41" s="4">
        <f>C40*$B$13</f>
        <v>15</v>
      </c>
      <c r="D41" s="4">
        <f t="shared" ref="D41:F41" si="6">D40*$B$13</f>
        <v>11.767937944408533</v>
      </c>
      <c r="E41" s="4">
        <f t="shared" si="6"/>
        <v>8.2126696832579196</v>
      </c>
      <c r="F41" s="4">
        <f t="shared" si="6"/>
        <v>4.3018745959922438</v>
      </c>
    </row>
    <row r="42" spans="1:7" s="1" customFormat="1">
      <c r="A42" s="1" t="s">
        <v>48</v>
      </c>
      <c r="C42" s="20">
        <f>-PMT($B$13,4,$C$40)</f>
        <v>47.320620555914672</v>
      </c>
      <c r="D42" s="20">
        <f t="shared" ref="D42:F42" si="7">-PMT($B$13,4,$C$40)</f>
        <v>47.320620555914672</v>
      </c>
      <c r="E42" s="20">
        <f t="shared" si="7"/>
        <v>47.320620555914672</v>
      </c>
      <c r="F42" s="20">
        <f t="shared" si="7"/>
        <v>47.320620555914672</v>
      </c>
    </row>
    <row r="43" spans="1:7" s="30" customFormat="1">
      <c r="A43" s="30" t="s">
        <v>145</v>
      </c>
      <c r="C43" s="4">
        <f>C41</f>
        <v>15</v>
      </c>
      <c r="D43" s="4">
        <f t="shared" ref="D43:F43" si="8">D41</f>
        <v>11.767937944408533</v>
      </c>
      <c r="E43" s="4">
        <f t="shared" si="8"/>
        <v>8.2126696832579196</v>
      </c>
      <c r="F43" s="4">
        <f t="shared" si="8"/>
        <v>4.3018745959922438</v>
      </c>
    </row>
    <row r="44" spans="1:7" s="30" customFormat="1">
      <c r="A44" s="30" t="s">
        <v>146</v>
      </c>
      <c r="C44" s="4">
        <f>C42-C43</f>
        <v>32.320620555914672</v>
      </c>
      <c r="D44" s="4">
        <f t="shared" ref="D44:F44" si="9">D42-D43</f>
        <v>35.552682611506143</v>
      </c>
      <c r="E44" s="4">
        <f t="shared" si="9"/>
        <v>39.107950872656751</v>
      </c>
      <c r="F44" s="4">
        <f t="shared" si="9"/>
        <v>43.018745959922427</v>
      </c>
    </row>
    <row r="45" spans="1:7" s="30" customFormat="1">
      <c r="A45" s="55" t="s">
        <v>147</v>
      </c>
      <c r="B45" s="55">
        <f>B12</f>
        <v>150</v>
      </c>
      <c r="C45" s="56">
        <f>C40-C44</f>
        <v>117.67937944408533</v>
      </c>
      <c r="D45" s="56">
        <f t="shared" ref="D45:F45" si="10">D40-D44</f>
        <v>82.126696832579185</v>
      </c>
      <c r="E45" s="56">
        <f t="shared" si="10"/>
        <v>43.018745959922434</v>
      </c>
      <c r="F45" s="56">
        <f t="shared" si="10"/>
        <v>0</v>
      </c>
    </row>
    <row r="46" spans="1:7" s="1" customFormat="1">
      <c r="A46" s="1" t="s">
        <v>148</v>
      </c>
    </row>
    <row r="47" spans="1:7" ht="16" thickBot="1">
      <c r="A47" s="57" t="s">
        <v>45</v>
      </c>
      <c r="B47" s="58" t="s">
        <v>149</v>
      </c>
      <c r="C47" s="58">
        <v>1</v>
      </c>
      <c r="D47" s="58">
        <v>2</v>
      </c>
      <c r="E47" s="58">
        <v>3</v>
      </c>
      <c r="F47" s="58">
        <v>4</v>
      </c>
    </row>
    <row r="48" spans="1:7">
      <c r="A48" s="30" t="s">
        <v>123</v>
      </c>
      <c r="B48" t="s">
        <v>150</v>
      </c>
      <c r="C48" s="4">
        <f>C19</f>
        <v>1188</v>
      </c>
      <c r="D48" s="4">
        <f t="shared" ref="D48:F48" si="11">D19</f>
        <v>1247.3999999999999</v>
      </c>
      <c r="E48" s="4">
        <f t="shared" si="11"/>
        <v>1309.77</v>
      </c>
      <c r="F48" s="4">
        <f t="shared" si="11"/>
        <v>1375.2585000000001</v>
      </c>
    </row>
    <row r="49" spans="1:7">
      <c r="A49" s="30" t="s">
        <v>160</v>
      </c>
      <c r="B49" t="s">
        <v>151</v>
      </c>
      <c r="C49" s="4">
        <f>SUM(C50:C51)</f>
        <v>1039.8</v>
      </c>
      <c r="D49" s="4">
        <f t="shared" ref="D49:F49" si="12">SUM(D50:D51)</f>
        <v>1091.79</v>
      </c>
      <c r="E49" s="4">
        <f t="shared" si="12"/>
        <v>1146.3795</v>
      </c>
      <c r="F49" s="4">
        <f t="shared" si="12"/>
        <v>1203.6984750000001</v>
      </c>
    </row>
    <row r="50" spans="1:7" s="12" customFormat="1">
      <c r="A50" s="12" t="s">
        <v>152</v>
      </c>
      <c r="B50" s="12" t="s">
        <v>153</v>
      </c>
      <c r="C50" s="31">
        <f>C22</f>
        <v>415.79999999999995</v>
      </c>
      <c r="D50" s="31">
        <f t="shared" ref="D50:F50" si="13">D22</f>
        <v>436.58999999999992</v>
      </c>
      <c r="E50" s="31">
        <f t="shared" si="13"/>
        <v>458.41949999999997</v>
      </c>
      <c r="F50" s="31">
        <f t="shared" si="13"/>
        <v>481.34047500000003</v>
      </c>
    </row>
    <row r="51" spans="1:7" s="12" customFormat="1">
      <c r="A51" s="12" t="s">
        <v>154</v>
      </c>
      <c r="B51" s="12" t="s">
        <v>155</v>
      </c>
      <c r="C51" s="31">
        <f>C23</f>
        <v>624</v>
      </c>
      <c r="D51" s="31">
        <f t="shared" ref="D51:F51" si="14">D23</f>
        <v>655.20000000000005</v>
      </c>
      <c r="E51" s="31">
        <f t="shared" si="14"/>
        <v>687.96</v>
      </c>
      <c r="F51" s="31">
        <f t="shared" si="14"/>
        <v>722.35800000000006</v>
      </c>
    </row>
    <row r="52" spans="1:7">
      <c r="A52" s="30" t="s">
        <v>156</v>
      </c>
      <c r="B52" t="s">
        <v>158</v>
      </c>
      <c r="C52" s="4">
        <f>($B$5+$B$6)/4</f>
        <v>60</v>
      </c>
      <c r="D52" s="4">
        <f t="shared" ref="D52:F52" si="15">($B$5+$B$6)/4</f>
        <v>60</v>
      </c>
      <c r="E52" s="4">
        <f t="shared" si="15"/>
        <v>60</v>
      </c>
      <c r="F52" s="4">
        <f t="shared" si="15"/>
        <v>60</v>
      </c>
    </row>
    <row r="53" spans="1:7">
      <c r="A53" s="30" t="s">
        <v>157</v>
      </c>
      <c r="B53" t="s">
        <v>159</v>
      </c>
      <c r="C53" s="4">
        <f>C48-C49-C52</f>
        <v>88.200000000000045</v>
      </c>
      <c r="D53" s="4">
        <f t="shared" ref="D53:F53" si="16">D48-D49-D52</f>
        <v>95.6099999999999</v>
      </c>
      <c r="E53" s="4">
        <f t="shared" si="16"/>
        <v>103.39049999999997</v>
      </c>
      <c r="F53" s="4">
        <f t="shared" si="16"/>
        <v>111.560025</v>
      </c>
    </row>
    <row r="54" spans="1:7">
      <c r="A54" s="30" t="s">
        <v>161</v>
      </c>
      <c r="B54" t="s">
        <v>162</v>
      </c>
      <c r="C54" s="4">
        <f>C43</f>
        <v>15</v>
      </c>
      <c r="D54" s="4">
        <f t="shared" ref="D54:F54" si="17">D43</f>
        <v>11.767937944408533</v>
      </c>
      <c r="E54" s="4">
        <f t="shared" si="17"/>
        <v>8.2126696832579196</v>
      </c>
      <c r="F54" s="4">
        <f t="shared" si="17"/>
        <v>4.3018745959922438</v>
      </c>
    </row>
    <row r="55" spans="1:7">
      <c r="A55" s="30" t="s">
        <v>163</v>
      </c>
      <c r="B55" t="s">
        <v>164</v>
      </c>
      <c r="C55" s="4">
        <f>C53-C54</f>
        <v>73.200000000000045</v>
      </c>
      <c r="D55" s="4">
        <f t="shared" ref="D55:F55" si="18">D53-D54</f>
        <v>83.84206205559137</v>
      </c>
      <c r="E55" s="4">
        <f t="shared" si="18"/>
        <v>95.17783031674206</v>
      </c>
      <c r="F55" s="4">
        <f t="shared" si="18"/>
        <v>107.25815040400775</v>
      </c>
    </row>
    <row r="56" spans="1:7" s="32" customFormat="1">
      <c r="A56" s="32" t="s">
        <v>165</v>
      </c>
      <c r="B56" s="32" t="s">
        <v>166</v>
      </c>
      <c r="C56" s="33">
        <f>IF(C55&gt;0,C55*20%,0)</f>
        <v>14.640000000000009</v>
      </c>
      <c r="D56" s="33">
        <f t="shared" ref="D56:F56" si="19">IF(D55&gt;0,D55*20%,0)</f>
        <v>16.768412411118273</v>
      </c>
      <c r="E56" s="33">
        <f t="shared" si="19"/>
        <v>19.035566063348412</v>
      </c>
      <c r="F56" s="33">
        <f t="shared" si="19"/>
        <v>21.45163008080155</v>
      </c>
    </row>
    <row r="57" spans="1:7">
      <c r="A57" s="55" t="s">
        <v>167</v>
      </c>
      <c r="B57" s="53" t="s">
        <v>168</v>
      </c>
      <c r="C57" s="56">
        <f>C55-C56</f>
        <v>58.560000000000038</v>
      </c>
      <c r="D57" s="56">
        <f t="shared" ref="D57:F57" si="20">D55-D56</f>
        <v>67.073649644473093</v>
      </c>
      <c r="E57" s="56">
        <f t="shared" si="20"/>
        <v>76.142264253393648</v>
      </c>
      <c r="F57" s="56">
        <f t="shared" si="20"/>
        <v>85.8065203232062</v>
      </c>
    </row>
    <row r="58" spans="1:7" s="1" customFormat="1">
      <c r="A58" s="1" t="s">
        <v>169</v>
      </c>
    </row>
    <row r="59" spans="1:7" ht="16" thickBot="1">
      <c r="A59" s="57" t="s">
        <v>45</v>
      </c>
      <c r="B59" s="58">
        <v>0</v>
      </c>
      <c r="C59" s="58">
        <v>1</v>
      </c>
      <c r="D59" s="58">
        <v>2</v>
      </c>
      <c r="E59" s="58">
        <v>3</v>
      </c>
      <c r="F59" s="58">
        <v>4</v>
      </c>
      <c r="G59" s="58">
        <v>5</v>
      </c>
    </row>
    <row r="60" spans="1:7">
      <c r="A60" s="30" t="s">
        <v>129</v>
      </c>
      <c r="C60" s="9">
        <f>$B$26*C48</f>
        <v>118.80000000000001</v>
      </c>
      <c r="D60" s="9">
        <f t="shared" ref="D60:F60" si="21">$B$26*D48</f>
        <v>124.74</v>
      </c>
      <c r="E60" s="9">
        <f t="shared" si="21"/>
        <v>130.977</v>
      </c>
      <c r="F60" s="9">
        <f t="shared" si="21"/>
        <v>137.52585000000002</v>
      </c>
      <c r="G60" s="9"/>
    </row>
    <row r="61" spans="1:7">
      <c r="A61" s="30" t="s">
        <v>131</v>
      </c>
      <c r="C61" s="9">
        <f>$B$27*C48</f>
        <v>0</v>
      </c>
      <c r="D61" s="9">
        <f t="shared" ref="D61:F61" si="22">$B$27*D48</f>
        <v>0</v>
      </c>
      <c r="E61" s="9">
        <f t="shared" si="22"/>
        <v>0</v>
      </c>
      <c r="F61" s="9">
        <f t="shared" si="22"/>
        <v>0</v>
      </c>
      <c r="G61" s="9"/>
    </row>
    <row r="62" spans="1:7">
      <c r="A62" s="30" t="s">
        <v>170</v>
      </c>
    </row>
    <row r="63" spans="1:7">
      <c r="A63" s="30" t="s">
        <v>132</v>
      </c>
      <c r="C63" s="9">
        <f>$B$28*C50</f>
        <v>41.58</v>
      </c>
      <c r="D63" s="9">
        <f t="shared" ref="D63:F63" si="23">$B$28*D50</f>
        <v>43.658999999999992</v>
      </c>
      <c r="E63" s="9">
        <f t="shared" si="23"/>
        <v>45.841949999999997</v>
      </c>
      <c r="F63" s="9">
        <f t="shared" si="23"/>
        <v>48.134047500000008</v>
      </c>
      <c r="G63" s="9"/>
    </row>
    <row r="64" spans="1:7" s="1" customFormat="1">
      <c r="A64" s="1" t="s">
        <v>171</v>
      </c>
      <c r="C64" s="34">
        <f>C60+C61+C62-C63</f>
        <v>77.220000000000013</v>
      </c>
      <c r="D64" s="34">
        <f t="shared" ref="D64:F64" si="24">D60+D61+D62-D63</f>
        <v>81.081000000000003</v>
      </c>
      <c r="E64" s="34">
        <f t="shared" si="24"/>
        <v>85.135050000000007</v>
      </c>
      <c r="F64" s="34">
        <f t="shared" si="24"/>
        <v>89.391802500000011</v>
      </c>
      <c r="G64" s="34"/>
    </row>
    <row r="65" spans="1:7">
      <c r="A65" s="30" t="s">
        <v>172</v>
      </c>
      <c r="C65" s="9">
        <f>C60-B60</f>
        <v>118.80000000000001</v>
      </c>
      <c r="D65" s="9">
        <f t="shared" ref="D65:G65" si="25">D60-C60</f>
        <v>5.9399999999999835</v>
      </c>
      <c r="E65" s="9">
        <f t="shared" si="25"/>
        <v>6.237000000000009</v>
      </c>
      <c r="F65" s="9">
        <f t="shared" si="25"/>
        <v>6.5488500000000158</v>
      </c>
      <c r="G65" s="9">
        <f t="shared" si="25"/>
        <v>-137.52585000000002</v>
      </c>
    </row>
    <row r="66" spans="1:7">
      <c r="A66" s="30" t="s">
        <v>173</v>
      </c>
      <c r="C66" s="9">
        <f t="shared" ref="C66:G66" si="26">C61-B61</f>
        <v>0</v>
      </c>
      <c r="D66" s="9">
        <f t="shared" si="26"/>
        <v>0</v>
      </c>
      <c r="E66" s="9">
        <f t="shared" si="26"/>
        <v>0</v>
      </c>
      <c r="F66" s="9">
        <f t="shared" si="26"/>
        <v>0</v>
      </c>
      <c r="G66" s="9">
        <f t="shared" si="26"/>
        <v>0</v>
      </c>
    </row>
    <row r="67" spans="1:7">
      <c r="A67" s="30" t="s">
        <v>174</v>
      </c>
      <c r="C67" s="9">
        <f t="shared" ref="C67:G67" si="27">C62-B62</f>
        <v>0</v>
      </c>
      <c r="D67" s="9">
        <f t="shared" si="27"/>
        <v>0</v>
      </c>
      <c r="E67" s="9">
        <f t="shared" si="27"/>
        <v>0</v>
      </c>
      <c r="F67" s="9">
        <f t="shared" si="27"/>
        <v>0</v>
      </c>
      <c r="G67" s="9">
        <f t="shared" si="27"/>
        <v>0</v>
      </c>
    </row>
    <row r="68" spans="1:7">
      <c r="A68" s="59" t="s">
        <v>175</v>
      </c>
      <c r="B68" s="60"/>
      <c r="C68" s="61">
        <f t="shared" ref="C68:G68" si="28">C63-B63</f>
        <v>41.58</v>
      </c>
      <c r="D68" s="61">
        <f t="shared" si="28"/>
        <v>2.0789999999999935</v>
      </c>
      <c r="E68" s="61">
        <f t="shared" si="28"/>
        <v>2.1829500000000053</v>
      </c>
      <c r="F68" s="61">
        <f t="shared" si="28"/>
        <v>2.2920975000000112</v>
      </c>
      <c r="G68" s="61">
        <f t="shared" si="28"/>
        <v>-48.134047500000008</v>
      </c>
    </row>
    <row r="69" spans="1:7" s="1" customFormat="1">
      <c r="A69" s="51" t="s">
        <v>176</v>
      </c>
      <c r="B69" s="51"/>
      <c r="C69" s="62">
        <f t="shared" ref="C69:G69" si="29">C64-B64</f>
        <v>77.220000000000013</v>
      </c>
      <c r="D69" s="62">
        <f t="shared" si="29"/>
        <v>3.86099999999999</v>
      </c>
      <c r="E69" s="62">
        <f t="shared" si="29"/>
        <v>4.0540500000000037</v>
      </c>
      <c r="F69" s="62">
        <f t="shared" si="29"/>
        <v>4.2567525000000046</v>
      </c>
      <c r="G69" s="62">
        <f t="shared" si="29"/>
        <v>-89.391802500000011</v>
      </c>
    </row>
    <row r="70" spans="1:7" s="1" customFormat="1">
      <c r="A70" s="1" t="s">
        <v>177</v>
      </c>
    </row>
    <row r="71" spans="1:7">
      <c r="A71" s="63" t="s">
        <v>45</v>
      </c>
      <c r="B71" s="63">
        <v>0</v>
      </c>
      <c r="C71" s="63">
        <v>1</v>
      </c>
      <c r="D71" s="63">
        <v>2</v>
      </c>
      <c r="E71" s="63">
        <v>3</v>
      </c>
      <c r="F71" s="63">
        <v>4</v>
      </c>
      <c r="G71" s="63">
        <v>5</v>
      </c>
    </row>
    <row r="72" spans="1:7" s="1" customFormat="1">
      <c r="A72" s="1" t="s">
        <v>58</v>
      </c>
      <c r="B72" s="63">
        <f>SUM(B73:B78)</f>
        <v>150</v>
      </c>
      <c r="C72" s="63">
        <f t="shared" ref="C72:G72" si="30">SUM(C73:C78)</f>
        <v>1188</v>
      </c>
      <c r="D72" s="63">
        <f t="shared" si="30"/>
        <v>1247.3999999999999</v>
      </c>
      <c r="E72" s="63">
        <f t="shared" si="30"/>
        <v>1309.77</v>
      </c>
      <c r="F72" s="63">
        <f t="shared" si="30"/>
        <v>1375.2585000000001</v>
      </c>
      <c r="G72" s="63">
        <f t="shared" si="30"/>
        <v>120</v>
      </c>
    </row>
    <row r="73" spans="1:7">
      <c r="A73" s="30" t="s">
        <v>178</v>
      </c>
      <c r="B73" s="28"/>
      <c r="C73" s="28">
        <f>C48</f>
        <v>1188</v>
      </c>
      <c r="D73" s="28">
        <f t="shared" ref="D73:G73" si="31">D48</f>
        <v>1247.3999999999999</v>
      </c>
      <c r="E73" s="28">
        <f t="shared" si="31"/>
        <v>1309.77</v>
      </c>
      <c r="F73" s="28">
        <f t="shared" si="31"/>
        <v>1375.2585000000001</v>
      </c>
      <c r="G73" s="28">
        <f t="shared" si="31"/>
        <v>0</v>
      </c>
    </row>
    <row r="74" spans="1:7" s="30" customFormat="1">
      <c r="A74" s="30" t="s">
        <v>179</v>
      </c>
      <c r="B74" s="28"/>
      <c r="C74" s="28">
        <f>-C66</f>
        <v>0</v>
      </c>
      <c r="D74" s="28">
        <f t="shared" ref="D74:G74" si="32">-D66</f>
        <v>0</v>
      </c>
      <c r="E74" s="28">
        <f t="shared" si="32"/>
        <v>0</v>
      </c>
      <c r="F74" s="28">
        <f t="shared" si="32"/>
        <v>0</v>
      </c>
      <c r="G74" s="28">
        <f t="shared" si="32"/>
        <v>0</v>
      </c>
    </row>
    <row r="75" spans="1:7">
      <c r="A75" s="30" t="s">
        <v>180</v>
      </c>
      <c r="B75" s="28">
        <f>B45</f>
        <v>150</v>
      </c>
      <c r="C75" s="28"/>
      <c r="D75" s="28"/>
      <c r="E75" s="28"/>
      <c r="F75" s="28"/>
      <c r="G75" s="28"/>
    </row>
    <row r="76" spans="1:7">
      <c r="A76" t="s">
        <v>181</v>
      </c>
      <c r="B76" s="28"/>
      <c r="C76" s="28"/>
      <c r="D76" s="28"/>
      <c r="E76" s="28"/>
      <c r="F76" s="28"/>
      <c r="G76" s="28">
        <f>B30</f>
        <v>60</v>
      </c>
    </row>
    <row r="77" spans="1:7">
      <c r="A77" t="s">
        <v>182</v>
      </c>
      <c r="B77" s="28"/>
      <c r="C77" s="28"/>
      <c r="D77" s="28"/>
      <c r="E77" s="28"/>
      <c r="F77" s="28"/>
      <c r="G77" s="28">
        <f t="shared" ref="G77:G78" si="33">B31</f>
        <v>10</v>
      </c>
    </row>
    <row r="78" spans="1:7">
      <c r="A78" s="53" t="s">
        <v>183</v>
      </c>
      <c r="B78" s="64"/>
      <c r="C78" s="64"/>
      <c r="D78" s="64"/>
      <c r="E78" s="64"/>
      <c r="F78" s="64"/>
      <c r="G78" s="64">
        <f t="shared" si="33"/>
        <v>50</v>
      </c>
    </row>
    <row r="79" spans="1:7" s="1" customFormat="1">
      <c r="A79" s="1" t="s">
        <v>59</v>
      </c>
      <c r="B79" s="65">
        <f>SUM(B80:B86)</f>
        <v>350</v>
      </c>
      <c r="C79" s="65">
        <f t="shared" ref="C79:G79" si="34">SUM(C80:C86)</f>
        <v>1178.9806205559148</v>
      </c>
      <c r="D79" s="65">
        <f t="shared" si="34"/>
        <v>1159.7400329670331</v>
      </c>
      <c r="E79" s="65">
        <f t="shared" si="34"/>
        <v>1216.7897366192633</v>
      </c>
      <c r="F79" s="65">
        <f t="shared" si="34"/>
        <v>1276.7274781367164</v>
      </c>
      <c r="G79" s="65">
        <f t="shared" si="34"/>
        <v>-89.391802500000011</v>
      </c>
    </row>
    <row r="80" spans="1:7">
      <c r="A80" t="s">
        <v>184</v>
      </c>
      <c r="B80">
        <f>B2</f>
        <v>350</v>
      </c>
    </row>
    <row r="81" spans="1:7">
      <c r="A81" t="s">
        <v>185</v>
      </c>
      <c r="C81" s="4">
        <f>C49</f>
        <v>1039.8</v>
      </c>
      <c r="D81" s="4">
        <f t="shared" ref="D81:F81" si="35">D49</f>
        <v>1091.79</v>
      </c>
      <c r="E81" s="4">
        <f t="shared" si="35"/>
        <v>1146.3795</v>
      </c>
      <c r="F81" s="4">
        <f t="shared" si="35"/>
        <v>1203.6984750000001</v>
      </c>
    </row>
    <row r="82" spans="1:7">
      <c r="A82" t="s">
        <v>186</v>
      </c>
      <c r="C82" s="9">
        <f>-C68</f>
        <v>-41.58</v>
      </c>
      <c r="D82" s="9">
        <f t="shared" ref="D82:G82" si="36">-D68</f>
        <v>-2.0789999999999935</v>
      </c>
      <c r="E82" s="9">
        <f t="shared" si="36"/>
        <v>-2.1829500000000053</v>
      </c>
      <c r="F82" s="9">
        <f t="shared" si="36"/>
        <v>-2.2920975000000112</v>
      </c>
      <c r="G82" s="9">
        <f t="shared" si="36"/>
        <v>48.134047500000008</v>
      </c>
    </row>
    <row r="83" spans="1:7">
      <c r="A83" t="s">
        <v>187</v>
      </c>
      <c r="C83" s="9">
        <f>C65</f>
        <v>118.80000000000001</v>
      </c>
      <c r="D83" s="9">
        <f t="shared" ref="D83:G83" si="37">D65</f>
        <v>5.9399999999999835</v>
      </c>
      <c r="E83" s="9">
        <f t="shared" si="37"/>
        <v>6.237000000000009</v>
      </c>
      <c r="F83" s="9">
        <f t="shared" si="37"/>
        <v>6.5488500000000158</v>
      </c>
      <c r="G83" s="9">
        <f t="shared" si="37"/>
        <v>-137.52585000000002</v>
      </c>
    </row>
    <row r="84" spans="1:7">
      <c r="A84" t="s">
        <v>188</v>
      </c>
      <c r="C84" s="9">
        <f>C67</f>
        <v>0</v>
      </c>
      <c r="D84" s="9">
        <f t="shared" ref="D84:G84" si="38">D67</f>
        <v>0</v>
      </c>
      <c r="E84" s="9">
        <f t="shared" si="38"/>
        <v>0</v>
      </c>
      <c r="F84" s="9">
        <f t="shared" si="38"/>
        <v>0</v>
      </c>
      <c r="G84" s="9">
        <f t="shared" si="38"/>
        <v>0</v>
      </c>
    </row>
    <row r="85" spans="1:7">
      <c r="A85" t="s">
        <v>189</v>
      </c>
      <c r="C85" s="9">
        <f>C56</f>
        <v>14.640000000000009</v>
      </c>
      <c r="D85" s="9">
        <f t="shared" ref="D85:G85" si="39">D56</f>
        <v>16.768412411118273</v>
      </c>
      <c r="E85" s="9">
        <f t="shared" si="39"/>
        <v>19.035566063348412</v>
      </c>
      <c r="F85" s="9">
        <f t="shared" si="39"/>
        <v>21.45163008080155</v>
      </c>
      <c r="G85" s="9">
        <f t="shared" si="39"/>
        <v>0</v>
      </c>
    </row>
    <row r="86" spans="1:7">
      <c r="A86" t="s">
        <v>190</v>
      </c>
      <c r="C86" s="9">
        <f>C42</f>
        <v>47.320620555914672</v>
      </c>
      <c r="D86" s="9">
        <f t="shared" ref="D86:G86" si="40">D42</f>
        <v>47.320620555914672</v>
      </c>
      <c r="E86" s="9">
        <f t="shared" si="40"/>
        <v>47.320620555914672</v>
      </c>
      <c r="F86" s="9">
        <f t="shared" si="40"/>
        <v>47.320620555914672</v>
      </c>
      <c r="G86" s="9">
        <f t="shared" si="40"/>
        <v>0</v>
      </c>
    </row>
    <row r="87" spans="1:7" s="1" customFormat="1" ht="16" thickBot="1">
      <c r="A87" s="54" t="s">
        <v>191</v>
      </c>
      <c r="B87" s="66">
        <f>B72-B79</f>
        <v>-200</v>
      </c>
      <c r="C87" s="66">
        <f t="shared" ref="C87:G87" si="41">C72-C79</f>
        <v>9.0193794440851889</v>
      </c>
      <c r="D87" s="66">
        <f t="shared" si="41"/>
        <v>87.659967032966733</v>
      </c>
      <c r="E87" s="66">
        <f t="shared" si="41"/>
        <v>92.980263380736687</v>
      </c>
      <c r="F87" s="66">
        <f t="shared" si="41"/>
        <v>98.53102186328374</v>
      </c>
      <c r="G87" s="66">
        <f t="shared" si="41"/>
        <v>209.39180250000001</v>
      </c>
    </row>
    <row r="88" spans="1:7" s="12" customFormat="1">
      <c r="A88" s="12" t="s">
        <v>77</v>
      </c>
      <c r="B88" s="13">
        <f>B87</f>
        <v>-200</v>
      </c>
      <c r="C88" s="13">
        <f>B88+C87</f>
        <v>-190.98062055591481</v>
      </c>
      <c r="D88" s="13">
        <f>C88+D87</f>
        <v>-103.32065352294808</v>
      </c>
      <c r="E88" s="13">
        <f>D88+E87</f>
        <v>-10.34039014221139</v>
      </c>
      <c r="F88" s="13">
        <f>E88+F87</f>
        <v>88.19063172107235</v>
      </c>
      <c r="G88" s="13">
        <f>F88+G87</f>
        <v>297.58243422107239</v>
      </c>
    </row>
    <row r="89" spans="1:7" s="1" customFormat="1">
      <c r="A89" s="1" t="s">
        <v>82</v>
      </c>
      <c r="B89" s="20">
        <f>B87/(1+$B$36)^B71</f>
        <v>-200</v>
      </c>
      <c r="C89" s="20">
        <f t="shared" ref="C89:G89" si="42">C87/(1+$B$36)^C71</f>
        <v>7.5161495367376574</v>
      </c>
      <c r="D89" s="20">
        <f t="shared" si="42"/>
        <v>60.874977106226901</v>
      </c>
      <c r="E89" s="20">
        <f t="shared" si="42"/>
        <v>53.808022789778178</v>
      </c>
      <c r="F89" s="20">
        <f t="shared" si="42"/>
        <v>47.516889401660755</v>
      </c>
      <c r="G89" s="20">
        <f t="shared" si="42"/>
        <v>84.149869188850317</v>
      </c>
    </row>
    <row r="90" spans="1:7" s="12" customFormat="1" ht="16" thickBot="1">
      <c r="A90" s="67" t="s">
        <v>198</v>
      </c>
      <c r="B90" s="68">
        <f>B89</f>
        <v>-200</v>
      </c>
      <c r="C90" s="68">
        <f>B90+C89</f>
        <v>-192.48385046326234</v>
      </c>
      <c r="D90" s="68">
        <f>C90+D89</f>
        <v>-131.60887335703543</v>
      </c>
      <c r="E90" s="68">
        <f>D90+E89</f>
        <v>-77.800850567257257</v>
      </c>
      <c r="F90" s="68">
        <f t="shared" ref="F90:G90" si="43">E90+F89</f>
        <v>-30.283961165596502</v>
      </c>
      <c r="G90" s="68">
        <f t="shared" si="43"/>
        <v>53.865908023253816</v>
      </c>
    </row>
    <row r="91" spans="1:7" s="1" customFormat="1">
      <c r="A91" s="1" t="s">
        <v>197</v>
      </c>
    </row>
    <row r="92" spans="1:7">
      <c r="A92" t="s">
        <v>78</v>
      </c>
      <c r="C92">
        <f>IF(C88&lt;0,1,0)</f>
        <v>1</v>
      </c>
      <c r="D92">
        <f t="shared" ref="D92:G92" si="44">IF(D88&lt;0,1,0)</f>
        <v>1</v>
      </c>
      <c r="E92">
        <f t="shared" si="44"/>
        <v>1</v>
      </c>
      <c r="F92">
        <f t="shared" si="44"/>
        <v>0</v>
      </c>
      <c r="G92">
        <f t="shared" si="44"/>
        <v>0</v>
      </c>
    </row>
    <row r="93" spans="1:7">
      <c r="A93" t="s">
        <v>79</v>
      </c>
      <c r="C93">
        <f>IF(C88*D88&lt;0,C88*12/D87,0)</f>
        <v>0</v>
      </c>
      <c r="D93">
        <f t="shared" ref="D93:G93" si="45">IF(D88*E88&lt;0,D88*12/E87,0)</f>
        <v>0</v>
      </c>
      <c r="E93">
        <f t="shared" si="45"/>
        <v>-1.2593463394575346</v>
      </c>
      <c r="F93">
        <f t="shared" si="45"/>
        <v>0</v>
      </c>
      <c r="G93">
        <f t="shared" si="45"/>
        <v>0</v>
      </c>
    </row>
    <row r="94" spans="1:7" s="1" customFormat="1">
      <c r="A94" s="1" t="s">
        <v>199</v>
      </c>
    </row>
    <row r="95" spans="1:7">
      <c r="A95" t="s">
        <v>78</v>
      </c>
      <c r="C95">
        <f>IF(C90&lt;0,1,0)</f>
        <v>1</v>
      </c>
      <c r="D95">
        <f t="shared" ref="D95:G95" si="46">IF(D90&lt;0,1,0)</f>
        <v>1</v>
      </c>
      <c r="E95">
        <f t="shared" si="46"/>
        <v>1</v>
      </c>
      <c r="F95">
        <f t="shared" si="46"/>
        <v>1</v>
      </c>
      <c r="G95">
        <f t="shared" si="46"/>
        <v>0</v>
      </c>
    </row>
    <row r="96" spans="1:7">
      <c r="A96" s="53" t="s">
        <v>79</v>
      </c>
      <c r="B96" s="53"/>
      <c r="C96" s="53">
        <f>IF(C90*D90&lt;0,C90*12/D89,0)</f>
        <v>0</v>
      </c>
      <c r="D96" s="53">
        <f t="shared" ref="D96:G96" si="47">IF(D90*E90&lt;0,D90*12/E89,0)</f>
        <v>0</v>
      </c>
      <c r="E96" s="53">
        <f t="shared" si="47"/>
        <v>0</v>
      </c>
      <c r="F96" s="53">
        <f t="shared" si="47"/>
        <v>-4.3185751503854828</v>
      </c>
      <c r="G96" s="53">
        <f t="shared" si="47"/>
        <v>0</v>
      </c>
    </row>
    <row r="97" spans="1:9" s="1" customFormat="1" ht="16" thickBot="1">
      <c r="A97" s="1" t="s">
        <v>192</v>
      </c>
    </row>
    <row r="98" spans="1:9" s="1" customFormat="1">
      <c r="A98" s="69" t="s">
        <v>193</v>
      </c>
      <c r="B98" s="70">
        <f>NPV(B36,C87:G87)+B87</f>
        <v>53.865908023253837</v>
      </c>
      <c r="C98" s="71" t="s">
        <v>200</v>
      </c>
      <c r="D98" s="72"/>
    </row>
    <row r="99" spans="1:9" s="1" customFormat="1">
      <c r="A99" s="73" t="s">
        <v>194</v>
      </c>
      <c r="B99" s="74">
        <f>IRR(B87:G87)</f>
        <v>0.28468273154504398</v>
      </c>
      <c r="C99" s="75" t="s">
        <v>201</v>
      </c>
      <c r="D99" s="76"/>
    </row>
    <row r="100" spans="1:9">
      <c r="A100" s="73" t="s">
        <v>195</v>
      </c>
      <c r="B100" s="77"/>
      <c r="C100" s="77"/>
      <c r="D100" s="78"/>
    </row>
    <row r="101" spans="1:9">
      <c r="A101" s="73" t="s">
        <v>196</v>
      </c>
      <c r="B101" s="79">
        <f>SUM(C92:G92)</f>
        <v>3</v>
      </c>
      <c r="C101" s="80">
        <f>SUM(C93:G93)</f>
        <v>-1.2593463394575346</v>
      </c>
      <c r="D101" s="78"/>
    </row>
    <row r="102" spans="1:9" ht="16" thickBot="1">
      <c r="A102" s="81" t="s">
        <v>199</v>
      </c>
      <c r="B102" s="82">
        <f>SUM(C95:G95)</f>
        <v>4</v>
      </c>
      <c r="C102" s="83">
        <f>SUM(C96:G96)</f>
        <v>-4.3185751503854828</v>
      </c>
      <c r="D102" s="84"/>
    </row>
    <row r="103" spans="1:9">
      <c r="A103" s="36" t="s">
        <v>202</v>
      </c>
    </row>
    <row r="104" spans="1:9">
      <c r="A104" s="36" t="s">
        <v>203</v>
      </c>
    </row>
    <row r="105" spans="1:9">
      <c r="E105" t="s">
        <v>204</v>
      </c>
    </row>
    <row r="106" spans="1:9">
      <c r="B106" s="85">
        <f>B98</f>
        <v>53.865908023253837</v>
      </c>
      <c r="C106" s="40">
        <f t="shared" ref="C106:D106" si="48">D106-0.001</f>
        <v>1.1999999999999997E-2</v>
      </c>
      <c r="D106" s="88">
        <f t="shared" si="48"/>
        <v>1.2999999999999998E-2</v>
      </c>
      <c r="E106" s="40">
        <f>F106-0.001</f>
        <v>1.3999999999999999E-2</v>
      </c>
      <c r="F106" s="42">
        <v>1.4999999999999999E-2</v>
      </c>
      <c r="G106" s="40">
        <f>F106+0.001</f>
        <v>1.6E-2</v>
      </c>
      <c r="H106" s="40">
        <f t="shared" ref="H106:I106" si="49">G106+0.001</f>
        <v>1.7000000000000001E-2</v>
      </c>
      <c r="I106" s="40">
        <f t="shared" si="49"/>
        <v>1.8000000000000002E-2</v>
      </c>
    </row>
    <row r="107" spans="1:9">
      <c r="B107" s="40">
        <f t="shared" ref="B107:B111" si="50">B108-10</f>
        <v>160</v>
      </c>
      <c r="C107" s="86">
        <f t="dataTable" ref="C107:I119" dt2D="1" dtr="1" r1="C18" r2="B16"/>
        <v>-776.94865506565907</v>
      </c>
      <c r="D107" s="86">
        <v>-675.38107694065889</v>
      </c>
      <c r="E107" s="86">
        <v>-573.8134988156587</v>
      </c>
      <c r="F107" s="86">
        <v>-472.24592069065892</v>
      </c>
      <c r="G107" s="86">
        <v>-370.6783425656588</v>
      </c>
      <c r="H107" s="86">
        <v>-269.11076444065867</v>
      </c>
      <c r="I107" s="86">
        <v>-167.54318631565874</v>
      </c>
    </row>
    <row r="108" spans="1:9">
      <c r="B108" s="40">
        <f t="shared" si="50"/>
        <v>170</v>
      </c>
      <c r="C108" s="86">
        <v>-700.77297147190893</v>
      </c>
      <c r="D108" s="86">
        <v>-592.85741971409652</v>
      </c>
      <c r="E108" s="86">
        <v>-484.94186795628377</v>
      </c>
      <c r="F108" s="86">
        <v>-377.02631619847136</v>
      </c>
      <c r="G108" s="86">
        <v>-269.11076444065867</v>
      </c>
      <c r="H108" s="86">
        <v>-161.19521268284626</v>
      </c>
      <c r="I108" s="86">
        <v>-67.498740414245617</v>
      </c>
    </row>
    <row r="109" spans="1:9">
      <c r="B109" s="40">
        <f t="shared" si="50"/>
        <v>180</v>
      </c>
      <c r="C109" s="86">
        <v>-624.59728787815925</v>
      </c>
      <c r="D109" s="86">
        <v>-510.33376248753382</v>
      </c>
      <c r="E109" s="86">
        <v>-396.07023709690895</v>
      </c>
      <c r="F109" s="86">
        <v>-281.80671170628409</v>
      </c>
      <c r="G109" s="86">
        <v>-167.54318631565874</v>
      </c>
      <c r="H109" s="86">
        <v>-67.498740414245788</v>
      </c>
      <c r="I109" s="86">
        <v>23.524745913879144</v>
      </c>
    </row>
    <row r="110" spans="1:9">
      <c r="B110" s="88">
        <f t="shared" si="50"/>
        <v>190</v>
      </c>
      <c r="C110" s="89">
        <v>-548.42160428440934</v>
      </c>
      <c r="D110" s="89">
        <v>-427.81010526097157</v>
      </c>
      <c r="E110" s="86">
        <v>-307.19860623753402</v>
      </c>
      <c r="F110" s="86">
        <v>-186.58710721409639</v>
      </c>
      <c r="G110" s="86">
        <v>-77.612461117370557</v>
      </c>
      <c r="H110" s="86">
        <v>18.467885562316781</v>
      </c>
      <c r="I110" s="86">
        <v>114.54823224200436</v>
      </c>
    </row>
    <row r="111" spans="1:9">
      <c r="B111" s="40">
        <f t="shared" si="50"/>
        <v>200</v>
      </c>
      <c r="C111" s="86">
        <v>-472.24592069065932</v>
      </c>
      <c r="D111" s="86">
        <v>-345.28644803440892</v>
      </c>
      <c r="E111" s="86">
        <v>-218.32697537815883</v>
      </c>
      <c r="F111" s="86">
        <v>-97.839902523620736</v>
      </c>
      <c r="G111" s="86">
        <v>3.2973045076294341</v>
      </c>
      <c r="H111" s="86">
        <v>104.43451153887958</v>
      </c>
      <c r="I111" s="86">
        <v>205.57171857012952</v>
      </c>
    </row>
    <row r="112" spans="1:9">
      <c r="B112" s="40">
        <f>B113-10</f>
        <v>210</v>
      </c>
      <c r="C112" s="86">
        <v>-396.07023709690964</v>
      </c>
      <c r="D112" s="86">
        <v>-262.76279080784667</v>
      </c>
      <c r="E112" s="86">
        <v>-130.66133379194136</v>
      </c>
      <c r="F112" s="86">
        <v>-21.986997250183322</v>
      </c>
      <c r="G112" s="86">
        <v>84.207070132629212</v>
      </c>
      <c r="H112" s="86">
        <v>190.40113751544163</v>
      </c>
      <c r="I112" s="86">
        <v>296.59520489825451</v>
      </c>
    </row>
    <row r="113" spans="1:9">
      <c r="A113" t="s">
        <v>219</v>
      </c>
      <c r="B113" s="42">
        <v>220</v>
      </c>
      <c r="C113" s="86">
        <v>-319.89455350315916</v>
      </c>
      <c r="D113" s="86">
        <v>-180.23913358128402</v>
      </c>
      <c r="E113" s="86">
        <v>-57.385019711121117</v>
      </c>
      <c r="F113" s="87">
        <v>53.865908023253837</v>
      </c>
      <c r="G113" s="86">
        <v>165.11683575762925</v>
      </c>
      <c r="H113" s="86">
        <v>276.36776349200403</v>
      </c>
      <c r="I113" s="86">
        <v>387.6186912263795</v>
      </c>
    </row>
    <row r="114" spans="1:9">
      <c r="B114" s="40">
        <f>B113+10</f>
        <v>230</v>
      </c>
      <c r="C114" s="86">
        <v>-243.71886990940939</v>
      </c>
      <c r="D114" s="86">
        <v>-102.89676287518333</v>
      </c>
      <c r="E114" s="86">
        <v>13.411025210754104</v>
      </c>
      <c r="F114" s="86">
        <v>129.71881329669168</v>
      </c>
      <c r="G114" s="86">
        <v>246.02660138262956</v>
      </c>
      <c r="H114" s="86">
        <v>362.33438946856688</v>
      </c>
      <c r="I114" s="86">
        <v>478.64217755450466</v>
      </c>
    </row>
    <row r="115" spans="1:9">
      <c r="B115" s="40">
        <f t="shared" ref="B115:B119" si="51">B114+10</f>
        <v>240</v>
      </c>
      <c r="C115" s="86">
        <v>-167.54318631565934</v>
      </c>
      <c r="D115" s="86">
        <v>-37.157578304870952</v>
      </c>
      <c r="E115" s="86">
        <v>84.207070132628928</v>
      </c>
      <c r="F115" s="86">
        <v>205.57171857012912</v>
      </c>
      <c r="G115" s="86">
        <v>326.93636700762931</v>
      </c>
      <c r="H115" s="86">
        <v>448.30101544512956</v>
      </c>
      <c r="I115" s="86">
        <v>569.66566388262959</v>
      </c>
    </row>
    <row r="116" spans="1:9">
      <c r="B116" s="40">
        <f t="shared" si="51"/>
        <v>250</v>
      </c>
      <c r="C116" s="86">
        <v>-97.839902523621333</v>
      </c>
      <c r="D116" s="86">
        <v>28.581606265441536</v>
      </c>
      <c r="E116" s="86">
        <v>155.00311505450424</v>
      </c>
      <c r="F116" s="86">
        <v>281.42462384356662</v>
      </c>
      <c r="G116" s="86">
        <v>407.84613263262929</v>
      </c>
      <c r="H116" s="86">
        <v>534.26764142169179</v>
      </c>
      <c r="I116" s="86">
        <v>660.68915021075463</v>
      </c>
    </row>
    <row r="117" spans="1:9">
      <c r="B117" s="40">
        <f t="shared" si="51"/>
        <v>260</v>
      </c>
      <c r="C117" s="86">
        <v>-37.15757830487135</v>
      </c>
      <c r="D117" s="86">
        <v>94.320790835753712</v>
      </c>
      <c r="E117" s="86">
        <v>225.79915997637937</v>
      </c>
      <c r="F117" s="86">
        <v>357.27752911700384</v>
      </c>
      <c r="G117" s="86">
        <v>488.75589825762938</v>
      </c>
      <c r="H117" s="86">
        <v>620.23426739825413</v>
      </c>
      <c r="I117" s="86">
        <v>751.71263653887956</v>
      </c>
    </row>
    <row r="118" spans="1:9">
      <c r="B118" s="40">
        <f t="shared" si="51"/>
        <v>270</v>
      </c>
      <c r="C118" s="86">
        <v>23.524745913878888</v>
      </c>
      <c r="D118" s="86">
        <v>160.05997540606648</v>
      </c>
      <c r="E118" s="86">
        <v>296.59520489825434</v>
      </c>
      <c r="F118" s="86">
        <v>433.13043439044168</v>
      </c>
      <c r="G118" s="86">
        <v>569.66566388262959</v>
      </c>
      <c r="H118" s="86">
        <v>706.20089337481681</v>
      </c>
      <c r="I118" s="86">
        <v>842.73612286700472</v>
      </c>
    </row>
    <row r="119" spans="1:9">
      <c r="B119" s="40">
        <f t="shared" si="51"/>
        <v>280</v>
      </c>
      <c r="C119" s="86">
        <v>84.207070132628814</v>
      </c>
      <c r="D119" s="86">
        <v>225.79915997637892</v>
      </c>
      <c r="E119" s="86">
        <v>367.39124982012936</v>
      </c>
      <c r="F119" s="86">
        <v>508.98333966387941</v>
      </c>
      <c r="G119" s="86">
        <v>650.57542950762945</v>
      </c>
      <c r="H119" s="86">
        <v>792.16751935137938</v>
      </c>
      <c r="I119" s="86">
        <v>933.75960919512931</v>
      </c>
    </row>
    <row r="120" spans="1:9" s="1" customFormat="1">
      <c r="A120" s="1" t="s">
        <v>205</v>
      </c>
    </row>
    <row r="121" spans="1:9">
      <c r="E121" t="s">
        <v>204</v>
      </c>
    </row>
    <row r="122" spans="1:9">
      <c r="B122" s="90">
        <f>B99</f>
        <v>0.28468273154504398</v>
      </c>
      <c r="C122" s="44">
        <f t="shared" ref="C122:D122" si="52">D122-0.001</f>
        <v>1.1999999999999997E-2</v>
      </c>
      <c r="D122" s="44">
        <f t="shared" si="52"/>
        <v>1.2999999999999998E-2</v>
      </c>
      <c r="E122" s="44">
        <f>F122-0.001</f>
        <v>1.3999999999999999E-2</v>
      </c>
      <c r="F122" s="91">
        <v>1.4999999999999999E-2</v>
      </c>
      <c r="G122" s="44">
        <f>F122+0.001</f>
        <v>1.6E-2</v>
      </c>
      <c r="H122" s="44">
        <f t="shared" ref="H122:I122" si="53">G122+0.001</f>
        <v>1.7000000000000001E-2</v>
      </c>
      <c r="I122" s="44">
        <f t="shared" si="53"/>
        <v>1.8000000000000002E-2</v>
      </c>
    </row>
    <row r="123" spans="1:9">
      <c r="B123" s="92">
        <f t="shared" ref="B123:B126" si="54">B124-2%</f>
        <v>0.24999999999999992</v>
      </c>
      <c r="C123" s="93">
        <f t="dataTable" ref="C123:I133" dt2D="1" dtr="1" r1="C18" r2="B22" ca="1"/>
        <v>8.5776765545680922E-2</v>
      </c>
      <c r="D123" s="93">
        <v>0.28468273154504464</v>
      </c>
      <c r="E123" s="93">
        <v>0.49045235115428798</v>
      </c>
      <c r="F123" s="93">
        <v>0.69863835817175812</v>
      </c>
      <c r="G123" s="93">
        <v>0.90731877586508936</v>
      </c>
      <c r="H123" s="93">
        <v>1.1158029122199382</v>
      </c>
      <c r="I123" s="93">
        <v>1.3239103494698274</v>
      </c>
    </row>
    <row r="124" spans="1:9">
      <c r="B124" s="92">
        <f t="shared" si="54"/>
        <v>0.26999999999999991</v>
      </c>
      <c r="C124" s="93">
        <v>2.3809753470611872E-2</v>
      </c>
      <c r="D124" s="93">
        <v>0.21461925551959848</v>
      </c>
      <c r="E124" s="93">
        <v>0.41318216232453664</v>
      </c>
      <c r="F124" s="93">
        <v>0.61523580057952332</v>
      </c>
      <c r="G124" s="93">
        <v>0.81828278579104352</v>
      </c>
      <c r="H124" s="93">
        <v>1.0213326901539239</v>
      </c>
      <c r="I124" s="93">
        <v>1.2240675676225958</v>
      </c>
    </row>
    <row r="125" spans="1:9">
      <c r="B125" s="92">
        <f t="shared" si="54"/>
        <v>0.28999999999999992</v>
      </c>
      <c r="C125" s="93">
        <v>-4.4650475297872916E-2</v>
      </c>
      <c r="D125" s="93">
        <v>0.14563143147332003</v>
      </c>
      <c r="E125" s="93">
        <v>0.33639611895478616</v>
      </c>
      <c r="F125" s="93">
        <v>0.53198427248054925</v>
      </c>
      <c r="G125" s="93">
        <v>0.7292393754605988</v>
      </c>
      <c r="H125" s="93">
        <v>0.92679072028387721</v>
      </c>
      <c r="I125" s="93">
        <v>1.1241347468098946</v>
      </c>
    </row>
    <row r="126" spans="1:9">
      <c r="B126" s="92">
        <f t="shared" si="54"/>
        <v>0.30999999999999994</v>
      </c>
      <c r="C126" s="93">
        <v>-0.11415316558765776</v>
      </c>
      <c r="D126" s="93">
        <v>7.8065701974904478E-2</v>
      </c>
      <c r="E126" s="93">
        <v>0.26032739660900295</v>
      </c>
      <c r="F126" s="93">
        <v>0.44900912404528803</v>
      </c>
      <c r="G126" s="93">
        <v>0.64024523612642037</v>
      </c>
      <c r="H126" s="93">
        <v>0.83219623407156207</v>
      </c>
      <c r="I126" s="93">
        <v>1.0241123112364172</v>
      </c>
    </row>
    <row r="127" spans="1:9">
      <c r="B127" s="92">
        <f>B128-2%</f>
        <v>0.32999999999999996</v>
      </c>
      <c r="C127" s="93">
        <v>-0.17936089744259698</v>
      </c>
      <c r="D127" s="93">
        <v>1.0138316368836664E-2</v>
      </c>
      <c r="E127" s="93">
        <v>0.18528211282038187</v>
      </c>
      <c r="F127" s="93">
        <v>0.36649093282265888</v>
      </c>
      <c r="G127" s="93">
        <v>0.55139029827853836</v>
      </c>
      <c r="H127" s="93">
        <v>0.73758618740457749</v>
      </c>
      <c r="I127" s="93">
        <v>0.92400914845965865</v>
      </c>
    </row>
    <row r="128" spans="1:9">
      <c r="B128" s="94">
        <v>0.35</v>
      </c>
      <c r="C128" s="93">
        <v>-0.23987390527484254</v>
      </c>
      <c r="D128" s="93">
        <v>-6.5335190248349773E-2</v>
      </c>
      <c r="E128" s="93">
        <v>0.1116469250500518</v>
      </c>
      <c r="F128" s="95">
        <v>0.28468273154504398</v>
      </c>
      <c r="G128" s="93">
        <v>0.46281225859147423</v>
      </c>
      <c r="H128" s="93">
        <v>0.64302476881087456</v>
      </c>
      <c r="I128" s="93">
        <v>0.82384820128923519</v>
      </c>
    </row>
    <row r="129" spans="1:9">
      <c r="B129" s="92">
        <f>B128+2%</f>
        <v>0.37</v>
      </c>
      <c r="C129" s="93">
        <v>-0.29549812636293227</v>
      </c>
      <c r="D129" s="93">
        <v>-0.13913498780765143</v>
      </c>
      <c r="E129" s="93">
        <v>3.9796758243060948E-2</v>
      </c>
      <c r="F129" s="93">
        <v>0.20392774249711976</v>
      </c>
      <c r="G129" s="93">
        <v>0.37471562820902138</v>
      </c>
      <c r="H129" s="93">
        <v>0.54861717244152386</v>
      </c>
      <c r="I129" s="93">
        <v>0.72367505795502929</v>
      </c>
    </row>
    <row r="130" spans="1:9">
      <c r="B130" s="92">
        <f t="shared" ref="B130:B133" si="55">B129+2%</f>
        <v>0.39</v>
      </c>
      <c r="C130" s="93">
        <v>-0.34624878346465926</v>
      </c>
      <c r="D130" s="93">
        <v>-0.20769554183697447</v>
      </c>
      <c r="E130" s="93">
        <v>-3.8681404250914375E-2</v>
      </c>
      <c r="F130" s="93">
        <v>0.12467288839742663</v>
      </c>
      <c r="G130" s="93">
        <v>0.28739488021046911</v>
      </c>
      <c r="H130" s="93">
        <v>0.45452892893015395</v>
      </c>
      <c r="I130" s="93">
        <v>0.62357093373442662</v>
      </c>
    </row>
    <row r="131" spans="1:9">
      <c r="B131" s="92">
        <f t="shared" si="55"/>
        <v>0.41000000000000003</v>
      </c>
      <c r="C131" s="93">
        <v>-0.39231623617184685</v>
      </c>
      <c r="D131" s="93">
        <v>-0.27061418429722428</v>
      </c>
      <c r="E131" s="93">
        <v>-0.11975793280902325</v>
      </c>
      <c r="F131" s="93">
        <v>4.7470098304187136E-2</v>
      </c>
      <c r="G131" s="93">
        <v>0.20125896023353906</v>
      </c>
      <c r="H131" s="93">
        <v>0.36101168716064591</v>
      </c>
      <c r="I131" s="93">
        <v>0.52367182720876526</v>
      </c>
    </row>
    <row r="132" spans="1:9">
      <c r="B132" s="92">
        <f t="shared" si="55"/>
        <v>0.43000000000000005</v>
      </c>
      <c r="C132" s="93">
        <v>-0.43401211657205641</v>
      </c>
      <c r="D132" s="93">
        <v>-0.32777956950856502</v>
      </c>
      <c r="E132" s="93">
        <v>-0.19494056079398969</v>
      </c>
      <c r="F132" s="93">
        <v>-3.568723400757412E-2</v>
      </c>
      <c r="G132" s="93">
        <v>0.11685031480132069</v>
      </c>
      <c r="H132" s="93">
        <v>0.268434725920077</v>
      </c>
      <c r="I132" s="93">
        <v>0.42419573619742024</v>
      </c>
    </row>
    <row r="133" spans="1:9">
      <c r="B133" s="92">
        <f t="shared" si="55"/>
        <v>0.45000000000000007</v>
      </c>
      <c r="C133" s="93">
        <v>-0.47171439029519258</v>
      </c>
      <c r="D133" s="93">
        <v>-0.37934704416996645</v>
      </c>
      <c r="E133" s="93">
        <v>-0.26364843675124006</v>
      </c>
      <c r="F133" s="93">
        <v>-0.12254900770152721</v>
      </c>
      <c r="G133" s="93">
        <v>3.4448474913105098E-2</v>
      </c>
      <c r="H133" s="93">
        <v>0.17731759556379423</v>
      </c>
      <c r="I133" s="93">
        <v>0.3254789408255494</v>
      </c>
    </row>
    <row r="134" spans="1:9" s="1" customFormat="1">
      <c r="A134" s="1" t="s">
        <v>206</v>
      </c>
    </row>
    <row r="135" spans="1:9" s="1" customFormat="1">
      <c r="A135" s="1" t="s">
        <v>246</v>
      </c>
    </row>
    <row r="136" spans="1:9" ht="16" thickBot="1">
      <c r="A136" s="58" t="s">
        <v>207</v>
      </c>
      <c r="B136" s="58">
        <v>1</v>
      </c>
      <c r="C136" s="58">
        <v>2</v>
      </c>
      <c r="D136" s="58">
        <v>3</v>
      </c>
      <c r="E136" s="58">
        <v>4</v>
      </c>
    </row>
    <row r="137" spans="1:9">
      <c r="A137" t="s">
        <v>208</v>
      </c>
      <c r="B137" s="4">
        <f>SUM(B138:B140)</f>
        <v>699</v>
      </c>
      <c r="C137" s="4">
        <f t="shared" ref="C137:E137" si="56">SUM(C138:C140)</f>
        <v>726.96793794440862</v>
      </c>
      <c r="D137" s="4">
        <f t="shared" si="56"/>
        <v>756.17266968325794</v>
      </c>
      <c r="E137" s="4">
        <f t="shared" si="56"/>
        <v>786.65987459599228</v>
      </c>
      <c r="F137" s="9"/>
    </row>
    <row r="138" spans="1:9" s="12" customFormat="1">
      <c r="A138" s="12" t="s">
        <v>209</v>
      </c>
      <c r="B138" s="31">
        <f>C51</f>
        <v>624</v>
      </c>
      <c r="C138" s="31">
        <f t="shared" ref="C138:E138" si="57">D51</f>
        <v>655.20000000000005</v>
      </c>
      <c r="D138" s="31">
        <f t="shared" si="57"/>
        <v>687.96</v>
      </c>
      <c r="E138" s="31">
        <f t="shared" si="57"/>
        <v>722.35800000000006</v>
      </c>
      <c r="F138" s="13"/>
    </row>
    <row r="139" spans="1:9" s="12" customFormat="1">
      <c r="A139" s="12" t="s">
        <v>210</v>
      </c>
      <c r="B139" s="31">
        <f>C52</f>
        <v>60</v>
      </c>
      <c r="C139" s="31">
        <f t="shared" ref="C139:E139" si="58">D52</f>
        <v>60</v>
      </c>
      <c r="D139" s="31">
        <f t="shared" si="58"/>
        <v>60</v>
      </c>
      <c r="E139" s="31">
        <f t="shared" si="58"/>
        <v>60</v>
      </c>
      <c r="F139" s="13"/>
    </row>
    <row r="140" spans="1:9" s="12" customFormat="1">
      <c r="A140" s="12" t="s">
        <v>211</v>
      </c>
      <c r="B140" s="31">
        <f>C54</f>
        <v>15</v>
      </c>
      <c r="C140" s="31">
        <f t="shared" ref="C140:E140" si="59">D54</f>
        <v>11.767937944408533</v>
      </c>
      <c r="D140" s="31">
        <f t="shared" si="59"/>
        <v>8.2126696832579196</v>
      </c>
      <c r="E140" s="31">
        <f t="shared" si="59"/>
        <v>4.3018745959922438</v>
      </c>
      <c r="F140" s="13"/>
    </row>
    <row r="141" spans="1:9">
      <c r="A141" s="30" t="s">
        <v>212</v>
      </c>
      <c r="B141" s="4">
        <f>C50</f>
        <v>415.79999999999995</v>
      </c>
      <c r="C141" s="4">
        <f t="shared" ref="C141:E141" si="60">D50</f>
        <v>436.58999999999992</v>
      </c>
      <c r="D141" s="4">
        <f t="shared" si="60"/>
        <v>458.41949999999997</v>
      </c>
      <c r="E141" s="4">
        <f t="shared" si="60"/>
        <v>481.34047500000003</v>
      </c>
      <c r="F141" s="9"/>
    </row>
    <row r="142" spans="1:9">
      <c r="A142" s="96" t="s">
        <v>213</v>
      </c>
      <c r="B142" s="97">
        <f>C48</f>
        <v>1188</v>
      </c>
      <c r="C142" s="97">
        <f t="shared" ref="C142:E142" si="61">D48</f>
        <v>1247.3999999999999</v>
      </c>
      <c r="D142" s="97">
        <f t="shared" si="61"/>
        <v>1309.77</v>
      </c>
      <c r="E142" s="97">
        <f t="shared" si="61"/>
        <v>1375.2585000000001</v>
      </c>
      <c r="F142" s="9"/>
    </row>
    <row r="143" spans="1:9" s="30" customFormat="1" ht="16" thickBot="1">
      <c r="A143" s="98" t="s">
        <v>214</v>
      </c>
      <c r="B143" s="99">
        <f>B137/(1-B141/B142)</f>
        <v>1075.3846153846152</v>
      </c>
      <c r="C143" s="99">
        <f t="shared" ref="C143:E143" si="62">C137/(1-C141/C142)</f>
        <v>1118.412212222167</v>
      </c>
      <c r="D143" s="99">
        <f t="shared" si="62"/>
        <v>1163.3425687434737</v>
      </c>
      <c r="E143" s="99">
        <f t="shared" si="62"/>
        <v>1210.2459609169111</v>
      </c>
    </row>
    <row r="159" spans="1:4" s="1" customFormat="1" ht="16" thickBot="1">
      <c r="A159" s="1" t="s">
        <v>247</v>
      </c>
    </row>
    <row r="160" spans="1:4">
      <c r="A160" s="100" t="s">
        <v>248</v>
      </c>
      <c r="B160" s="101"/>
      <c r="C160" s="101"/>
      <c r="D160" s="102"/>
    </row>
    <row r="161" spans="1:5">
      <c r="A161" s="103" t="s">
        <v>249</v>
      </c>
      <c r="B161" s="77">
        <v>213</v>
      </c>
      <c r="C161" s="60" t="s">
        <v>251</v>
      </c>
      <c r="D161" s="104">
        <v>0</v>
      </c>
    </row>
    <row r="162" spans="1:5" ht="16" thickBot="1">
      <c r="A162" s="105" t="s">
        <v>250</v>
      </c>
      <c r="B162" s="106">
        <f>B161*C18</f>
        <v>3.1949999999999998</v>
      </c>
      <c r="C162" s="107"/>
      <c r="D162" s="108"/>
    </row>
    <row r="163" spans="1:5" s="1" customFormat="1">
      <c r="A163" s="1" t="s">
        <v>215</v>
      </c>
    </row>
    <row r="164" spans="1:5" ht="16" thickBot="1">
      <c r="A164" s="54" t="s">
        <v>216</v>
      </c>
      <c r="B164" s="54" t="s">
        <v>217</v>
      </c>
      <c r="C164" s="54" t="s">
        <v>225</v>
      </c>
      <c r="D164" s="54" t="s">
        <v>226</v>
      </c>
      <c r="E164" s="54" t="s">
        <v>227</v>
      </c>
    </row>
    <row r="165" spans="1:5">
      <c r="A165" t="s">
        <v>218</v>
      </c>
      <c r="B165">
        <v>140</v>
      </c>
      <c r="C165">
        <v>100</v>
      </c>
      <c r="D165">
        <v>200</v>
      </c>
      <c r="E165">
        <v>400</v>
      </c>
    </row>
    <row r="166" spans="1:5">
      <c r="A166" t="s">
        <v>219</v>
      </c>
      <c r="B166">
        <v>220</v>
      </c>
      <c r="C166">
        <v>200</v>
      </c>
      <c r="D166">
        <v>180</v>
      </c>
      <c r="E166">
        <v>200</v>
      </c>
    </row>
    <row r="167" spans="1:5">
      <c r="A167" t="s">
        <v>220</v>
      </c>
      <c r="B167">
        <v>1.4999999999999999E-2</v>
      </c>
      <c r="C167">
        <v>1.2E-2</v>
      </c>
      <c r="D167">
        <v>0.02</v>
      </c>
      <c r="E167">
        <v>2.5000000000000001E-2</v>
      </c>
    </row>
    <row r="168" spans="1:5">
      <c r="A168" t="s">
        <v>125</v>
      </c>
      <c r="B168" s="2">
        <v>0.35</v>
      </c>
      <c r="C168" s="2">
        <v>0.35</v>
      </c>
      <c r="D168" s="2">
        <v>0.32</v>
      </c>
      <c r="E168" s="2">
        <v>0.3</v>
      </c>
    </row>
    <row r="169" spans="1:5">
      <c r="A169" t="s">
        <v>126</v>
      </c>
      <c r="B169">
        <v>624</v>
      </c>
      <c r="C169">
        <v>600</v>
      </c>
      <c r="D169">
        <v>650</v>
      </c>
      <c r="E169">
        <v>800</v>
      </c>
    </row>
    <row r="170" spans="1:5" s="1" customFormat="1">
      <c r="A170" s="1" t="s">
        <v>221</v>
      </c>
    </row>
    <row r="171" spans="1:5">
      <c r="A171" s="109" t="s">
        <v>65</v>
      </c>
      <c r="B171" s="110">
        <f>B98</f>
        <v>53.865908023253837</v>
      </c>
      <c r="C171" s="110">
        <v>-366.03498319065898</v>
      </c>
      <c r="D171" s="110">
        <v>179.976789461333</v>
      </c>
      <c r="E171" s="110">
        <v>493.24284607784602</v>
      </c>
    </row>
    <row r="172" spans="1:5">
      <c r="A172" s="60" t="s">
        <v>222</v>
      </c>
      <c r="B172" s="61">
        <f>B99</f>
        <v>0.28468273154504398</v>
      </c>
      <c r="C172" s="111">
        <v>-0.326331127185016</v>
      </c>
      <c r="D172" s="111">
        <v>0.43551523646703499</v>
      </c>
      <c r="E172" s="111">
        <v>0.597405983850259</v>
      </c>
    </row>
    <row r="173" spans="1:5">
      <c r="A173" s="60" t="s">
        <v>223</v>
      </c>
      <c r="B173" s="112">
        <f>B101</f>
        <v>3</v>
      </c>
      <c r="C173" s="112">
        <v>5</v>
      </c>
      <c r="D173" s="112">
        <v>2</v>
      </c>
      <c r="E173" s="112">
        <v>1</v>
      </c>
    </row>
    <row r="174" spans="1:5" ht="16" thickBot="1">
      <c r="A174" s="107" t="s">
        <v>224</v>
      </c>
      <c r="B174" s="113">
        <f>B102</f>
        <v>4</v>
      </c>
      <c r="C174" s="113">
        <v>5</v>
      </c>
      <c r="D174" s="113">
        <v>2</v>
      </c>
      <c r="E174" s="113">
        <v>2</v>
      </c>
    </row>
  </sheetData>
  <scenarios current="0" sqref="B98 B99 B101 B102">
    <scenario name="Kịch bản 1" locked="1" count="5" user="Huynh Thanh Dien" comment="Created by Huynh Thanh Dien on 11/25/2019_x000d_Modified by Huynh Thanh Dien on 11/25/2019">
      <inputCells r="B6" val="100"/>
      <inputCells r="B16" val="200"/>
      <inputCells r="C18" val="0.012"/>
      <inputCells r="B22" val="0.35" numFmtId="169"/>
      <inputCells r="C23" val="600"/>
    </scenario>
    <scenario name="Kịch bản 2" locked="1" count="5" user="Huynh Thanh Dien" comment="Created by Huynh Thanh Dien on 11/25/2019">
      <inputCells r="B6" val="200"/>
      <inputCells r="B16" val="180"/>
      <inputCells r="C18" val="0.02"/>
      <inputCells r="B22" val="0.32" numFmtId="169"/>
      <inputCells r="C23" val="650"/>
    </scenario>
    <scenario name="Kịch bản 3" locked="1" count="5" user="Huynh Thanh Dien" comment="Created by Huynh Thanh Dien on 11/25/2019">
      <inputCells r="B6" val="400"/>
      <inputCells r="B16" val="200"/>
      <inputCells r="C18" val="0.025"/>
      <inputCells r="B22" val="0.3" numFmtId="169"/>
      <inputCells r="C23" val="800"/>
    </scenario>
  </scenario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/>
  </sheetPr>
  <dimension ref="B2:G18"/>
  <sheetViews>
    <sheetView showGridLines="0" tabSelected="1" workbookViewId="0">
      <selection activeCell="D26" sqref="D26"/>
    </sheetView>
  </sheetViews>
  <sheetFormatPr baseColWidth="10" defaultRowHeight="15" outlineLevelRow="1" outlineLevelCol="1" x14ac:dyDescent="0"/>
  <cols>
    <col min="4" max="7" width="10.83203125" outlineLevel="1"/>
  </cols>
  <sheetData>
    <row r="2" spans="2:7">
      <c r="B2" t="s">
        <v>239</v>
      </c>
    </row>
    <row r="3" spans="2:7" collapsed="1">
      <c r="D3" t="s">
        <v>241</v>
      </c>
      <c r="E3" t="s">
        <v>225</v>
      </c>
      <c r="F3" t="s">
        <v>226</v>
      </c>
      <c r="G3" t="s">
        <v>227</v>
      </c>
    </row>
    <row r="4" spans="2:7" ht="96" hidden="1" outlineLevel="1">
      <c r="E4" s="39" t="s">
        <v>237</v>
      </c>
      <c r="F4" s="39" t="s">
        <v>238</v>
      </c>
      <c r="G4" s="39" t="s">
        <v>238</v>
      </c>
    </row>
    <row r="5" spans="2:7">
      <c r="B5" t="s">
        <v>240</v>
      </c>
    </row>
    <row r="6" spans="2:7" outlineLevel="1">
      <c r="C6" t="s">
        <v>228</v>
      </c>
      <c r="D6">
        <v>140</v>
      </c>
      <c r="E6" s="37">
        <v>100</v>
      </c>
      <c r="F6" s="37">
        <v>200</v>
      </c>
      <c r="G6" s="37">
        <v>400</v>
      </c>
    </row>
    <row r="7" spans="2:7" outlineLevel="1">
      <c r="C7" t="s">
        <v>229</v>
      </c>
      <c r="D7">
        <v>220</v>
      </c>
      <c r="E7" s="37">
        <v>200</v>
      </c>
      <c r="F7" s="37">
        <v>180</v>
      </c>
      <c r="G7" s="37">
        <v>200</v>
      </c>
    </row>
    <row r="8" spans="2:7" outlineLevel="1">
      <c r="C8" t="s">
        <v>230</v>
      </c>
      <c r="D8">
        <v>1.4999999999999999E-2</v>
      </c>
      <c r="E8" s="37">
        <v>1.2E-2</v>
      </c>
      <c r="F8" s="37">
        <v>0.02</v>
      </c>
      <c r="G8" s="37">
        <v>2.5000000000000001E-2</v>
      </c>
    </row>
    <row r="9" spans="2:7" outlineLevel="1">
      <c r="C9" t="s">
        <v>231</v>
      </c>
      <c r="D9" s="27">
        <v>0.35</v>
      </c>
      <c r="E9" s="38">
        <v>0.35</v>
      </c>
      <c r="F9" s="38">
        <v>0.32</v>
      </c>
      <c r="G9" s="38">
        <v>0.3</v>
      </c>
    </row>
    <row r="10" spans="2:7" outlineLevel="1">
      <c r="C10" t="s">
        <v>232</v>
      </c>
      <c r="D10">
        <v>624</v>
      </c>
      <c r="E10" s="37">
        <v>600</v>
      </c>
      <c r="F10" s="37">
        <v>650</v>
      </c>
      <c r="G10" s="37">
        <v>800</v>
      </c>
    </row>
    <row r="11" spans="2:7">
      <c r="B11" t="s">
        <v>242</v>
      </c>
    </row>
    <row r="12" spans="2:7" outlineLevel="1">
      <c r="C12" t="s">
        <v>233</v>
      </c>
      <c r="D12" s="9">
        <v>53.865908023253802</v>
      </c>
      <c r="E12" s="9">
        <v>-366.03498319065898</v>
      </c>
      <c r="F12" s="9">
        <v>179.976789461333</v>
      </c>
      <c r="G12" s="9">
        <v>493.24284607784602</v>
      </c>
    </row>
    <row r="13" spans="2:7" outlineLevel="1">
      <c r="C13" t="s">
        <v>234</v>
      </c>
      <c r="D13" s="2">
        <v>0.28468273154504398</v>
      </c>
      <c r="E13" s="2">
        <v>-0.326331127185016</v>
      </c>
      <c r="F13" s="2">
        <v>0.43551523646703499</v>
      </c>
      <c r="G13" s="2">
        <v>0.597405983850259</v>
      </c>
    </row>
    <row r="14" spans="2:7" outlineLevel="1">
      <c r="C14" t="s">
        <v>235</v>
      </c>
      <c r="D14" s="35">
        <v>3</v>
      </c>
      <c r="E14" s="35">
        <v>5</v>
      </c>
      <c r="F14" s="35">
        <v>2</v>
      </c>
      <c r="G14" s="35">
        <v>1</v>
      </c>
    </row>
    <row r="15" spans="2:7" outlineLevel="1">
      <c r="C15" t="s">
        <v>236</v>
      </c>
      <c r="D15" s="35">
        <v>4</v>
      </c>
      <c r="E15" s="35">
        <v>5</v>
      </c>
      <c r="F15" s="35">
        <v>2</v>
      </c>
      <c r="G15" s="35">
        <v>2</v>
      </c>
    </row>
    <row r="16" spans="2:7">
      <c r="B16" t="s">
        <v>243</v>
      </c>
    </row>
    <row r="17" spans="2:2">
      <c r="B17" t="s">
        <v>244</v>
      </c>
    </row>
    <row r="18" spans="2:2">
      <c r="B18" t="s">
        <v>245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23" zoomScale="200" zoomScaleNormal="200" zoomScalePageLayoutView="200" workbookViewId="0">
      <selection activeCell="A35" sqref="A35"/>
    </sheetView>
  </sheetViews>
  <sheetFormatPr baseColWidth="10" defaultRowHeight="15" x14ac:dyDescent="0"/>
  <cols>
    <col min="1" max="1" width="17.5" customWidth="1"/>
  </cols>
  <sheetData>
    <row r="1" spans="1:7">
      <c r="A1" s="1" t="s">
        <v>0</v>
      </c>
    </row>
    <row r="2" spans="1:7">
      <c r="A2" s="1" t="s">
        <v>1</v>
      </c>
    </row>
    <row r="3" spans="1:7">
      <c r="B3">
        <v>0</v>
      </c>
      <c r="C3">
        <v>1</v>
      </c>
      <c r="D3">
        <v>2</v>
      </c>
      <c r="E3" t="s">
        <v>2</v>
      </c>
      <c r="F3" t="s">
        <v>3</v>
      </c>
    </row>
    <row r="4" spans="1:7">
      <c r="A4" t="s">
        <v>4</v>
      </c>
      <c r="B4">
        <v>10</v>
      </c>
      <c r="C4" t="s">
        <v>6</v>
      </c>
    </row>
    <row r="5" spans="1:7">
      <c r="A5" t="s">
        <v>5</v>
      </c>
      <c r="B5" s="2">
        <v>0.1</v>
      </c>
      <c r="C5">
        <v>11</v>
      </c>
      <c r="D5" t="s">
        <v>7</v>
      </c>
    </row>
    <row r="6" spans="1:7">
      <c r="A6" t="s">
        <v>12</v>
      </c>
      <c r="B6">
        <v>5</v>
      </c>
      <c r="D6" t="s">
        <v>8</v>
      </c>
    </row>
    <row r="7" spans="1:7">
      <c r="A7" t="s">
        <v>13</v>
      </c>
      <c r="B7" s="4">
        <f>10*(1+10%)^5</f>
        <v>16.105100000000007</v>
      </c>
      <c r="D7" t="s">
        <v>9</v>
      </c>
      <c r="F7" t="s">
        <v>10</v>
      </c>
    </row>
    <row r="8" spans="1:7">
      <c r="B8" s="4">
        <f>FV(10%,5,0,10)</f>
        <v>-16.105100000000007</v>
      </c>
      <c r="F8" s="5" t="s">
        <v>11</v>
      </c>
    </row>
    <row r="9" spans="1:7">
      <c r="A9" s="1" t="s">
        <v>14</v>
      </c>
    </row>
    <row r="10" spans="1:7">
      <c r="B10" t="s">
        <v>15</v>
      </c>
    </row>
    <row r="11" spans="1:7">
      <c r="A11" t="s">
        <v>13</v>
      </c>
      <c r="B11">
        <v>100</v>
      </c>
    </row>
    <row r="12" spans="1:7">
      <c r="A12" t="s">
        <v>12</v>
      </c>
      <c r="B12">
        <v>4</v>
      </c>
    </row>
    <row r="13" spans="1:7">
      <c r="A13" t="s">
        <v>16</v>
      </c>
      <c r="B13" s="2">
        <v>0.1</v>
      </c>
    </row>
    <row r="14" spans="1:7">
      <c r="A14" t="s">
        <v>17</v>
      </c>
      <c r="B14" t="s">
        <v>18</v>
      </c>
    </row>
    <row r="15" spans="1:7">
      <c r="B15" s="4">
        <f>PV(10%,4,0,100)</f>
        <v>-68.301345536507057</v>
      </c>
    </row>
    <row r="16" spans="1:7">
      <c r="A16" s="1" t="s">
        <v>19</v>
      </c>
      <c r="G16">
        <f>12*4</f>
        <v>48</v>
      </c>
    </row>
    <row r="17" spans="1:7">
      <c r="B17">
        <v>0</v>
      </c>
      <c r="C17">
        <v>1</v>
      </c>
      <c r="D17">
        <v>2</v>
      </c>
      <c r="E17" t="s">
        <v>2</v>
      </c>
      <c r="F17" t="s">
        <v>20</v>
      </c>
      <c r="G17" t="s">
        <v>3</v>
      </c>
    </row>
    <row r="18" spans="1:7">
      <c r="C18">
        <v>5</v>
      </c>
      <c r="D18">
        <v>5</v>
      </c>
      <c r="E18">
        <v>5</v>
      </c>
      <c r="F18">
        <v>5</v>
      </c>
      <c r="G18">
        <v>5</v>
      </c>
    </row>
    <row r="19" spans="1:7">
      <c r="A19" t="s">
        <v>16</v>
      </c>
      <c r="B19" s="2">
        <v>0.01</v>
      </c>
      <c r="C19" t="s">
        <v>21</v>
      </c>
      <c r="D19" t="s">
        <v>21</v>
      </c>
      <c r="E19" t="s">
        <v>21</v>
      </c>
      <c r="F19" t="s">
        <v>21</v>
      </c>
      <c r="G19" s="5" t="s">
        <v>21</v>
      </c>
    </row>
    <row r="20" spans="1:7">
      <c r="A20" t="s">
        <v>13</v>
      </c>
      <c r="B20" s="7">
        <f>FV(1%,48,5,0)</f>
        <v>-306.11303884123265</v>
      </c>
      <c r="G20" t="s">
        <v>22</v>
      </c>
    </row>
    <row r="21" spans="1:7">
      <c r="D21" s="5">
        <f>5*48</f>
        <v>240</v>
      </c>
      <c r="G21" t="s">
        <v>23</v>
      </c>
    </row>
    <row r="22" spans="1:7">
      <c r="G22" t="s">
        <v>2</v>
      </c>
    </row>
    <row r="23" spans="1:7">
      <c r="G23" t="s">
        <v>24</v>
      </c>
    </row>
    <row r="24" spans="1:7">
      <c r="A24" t="s">
        <v>25</v>
      </c>
      <c r="E24" s="6" t="s">
        <v>26</v>
      </c>
    </row>
    <row r="25" spans="1:7">
      <c r="A25" t="s">
        <v>27</v>
      </c>
    </row>
    <row r="26" spans="1:7">
      <c r="A26" t="s">
        <v>28</v>
      </c>
      <c r="E26" s="6" t="s">
        <v>29</v>
      </c>
    </row>
    <row r="27" spans="1:7">
      <c r="A27" t="s">
        <v>30</v>
      </c>
    </row>
    <row r="28" spans="1:7">
      <c r="A28" t="s">
        <v>31</v>
      </c>
    </row>
    <row r="29" spans="1:7">
      <c r="A29" t="s">
        <v>32</v>
      </c>
    </row>
    <row r="30" spans="1:7">
      <c r="A30" s="1" t="s">
        <v>33</v>
      </c>
    </row>
    <row r="31" spans="1:7">
      <c r="A31" t="s">
        <v>17</v>
      </c>
      <c r="B31" t="s">
        <v>34</v>
      </c>
    </row>
    <row r="32" spans="1:7">
      <c r="B32" s="4">
        <f>PV(1%,48,5,0)</f>
        <v>-189.86979746740141</v>
      </c>
    </row>
    <row r="33" spans="1:8">
      <c r="A33" t="s">
        <v>17</v>
      </c>
      <c r="B33">
        <v>100</v>
      </c>
    </row>
    <row r="34" spans="1:8">
      <c r="A34" t="s">
        <v>16</v>
      </c>
      <c r="B34" s="2">
        <v>0.1</v>
      </c>
    </row>
    <row r="35" spans="1:8">
      <c r="A35" t="s">
        <v>35</v>
      </c>
      <c r="B35" s="3">
        <f>PMT(10%,4,100)</f>
        <v>-31.54708037060978</v>
      </c>
    </row>
    <row r="36" spans="1:8">
      <c r="F36">
        <v>180</v>
      </c>
    </row>
    <row r="37" spans="1:8">
      <c r="A37">
        <v>0</v>
      </c>
      <c r="B37">
        <v>1</v>
      </c>
      <c r="C37">
        <v>2</v>
      </c>
      <c r="D37" t="s">
        <v>2</v>
      </c>
      <c r="E37">
        <v>156</v>
      </c>
      <c r="F37">
        <v>157</v>
      </c>
      <c r="G37" t="s">
        <v>2</v>
      </c>
      <c r="H37">
        <f>F37+180</f>
        <v>337</v>
      </c>
    </row>
    <row r="38" spans="1:8">
      <c r="A38" t="s">
        <v>36</v>
      </c>
      <c r="B38" s="5">
        <v>30</v>
      </c>
      <c r="C38" s="5">
        <v>30</v>
      </c>
      <c r="D38" s="5">
        <v>30</v>
      </c>
      <c r="E38" s="5">
        <v>30</v>
      </c>
      <c r="F38" s="8">
        <v>15</v>
      </c>
      <c r="G38" s="8">
        <v>15</v>
      </c>
      <c r="H38" s="8">
        <v>15</v>
      </c>
    </row>
    <row r="39" spans="1:8">
      <c r="A39" t="s">
        <v>37</v>
      </c>
    </row>
    <row r="40" spans="1:8">
      <c r="A40" s="4">
        <f>PV(1%,156,30)</f>
        <v>-2364.6881666118629</v>
      </c>
      <c r="E40" t="s">
        <v>38</v>
      </c>
    </row>
    <row r="41" spans="1:8">
      <c r="A41">
        <f>E41/(1+1%)^156</f>
        <v>-264.67619554922538</v>
      </c>
      <c r="E41" s="3">
        <f>PV(1%,180,15)</f>
        <v>-1249.8249598360203</v>
      </c>
    </row>
    <row r="42" spans="1:8">
      <c r="A42" s="23">
        <f>A40+A41</f>
        <v>-2629.3643621610881</v>
      </c>
    </row>
    <row r="44" spans="1:8">
      <c r="A44" t="s">
        <v>35</v>
      </c>
      <c r="B44">
        <v>20</v>
      </c>
      <c r="C44" t="s">
        <v>39</v>
      </c>
    </row>
    <row r="45" spans="1:8">
      <c r="A45" t="s">
        <v>36</v>
      </c>
      <c r="B45">
        <f>B44/B46</f>
        <v>4000</v>
      </c>
    </row>
    <row r="46" spans="1:8">
      <c r="A46" t="s">
        <v>16</v>
      </c>
      <c r="B46" s="11">
        <f>6%/12</f>
        <v>5.0000000000000001E-3</v>
      </c>
      <c r="C46" t="s">
        <v>40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26" zoomScale="150" zoomScaleNormal="150" zoomScalePageLayoutView="150" workbookViewId="0">
      <selection activeCell="D42" sqref="D42"/>
    </sheetView>
  </sheetViews>
  <sheetFormatPr baseColWidth="10" defaultRowHeight="15" x14ac:dyDescent="0"/>
  <cols>
    <col min="1" max="1" width="12.5" customWidth="1"/>
  </cols>
  <sheetData>
    <row r="1" spans="1:8">
      <c r="A1" s="1" t="s">
        <v>41</v>
      </c>
      <c r="D1" t="s">
        <v>42</v>
      </c>
      <c r="E1">
        <v>100</v>
      </c>
      <c r="F1" t="s">
        <v>16</v>
      </c>
      <c r="G1" s="2">
        <v>0.1</v>
      </c>
    </row>
    <row r="2" spans="1:8">
      <c r="E2" t="s">
        <v>12</v>
      </c>
      <c r="F2">
        <v>4</v>
      </c>
      <c r="G2" t="s">
        <v>43</v>
      </c>
    </row>
    <row r="3" spans="1:8" s="1" customFormat="1">
      <c r="A3" s="1" t="s">
        <v>44</v>
      </c>
    </row>
    <row r="4" spans="1:8">
      <c r="A4" t="s">
        <v>45</v>
      </c>
      <c r="B4">
        <v>0</v>
      </c>
      <c r="C4">
        <v>1</v>
      </c>
      <c r="D4">
        <v>2</v>
      </c>
      <c r="E4">
        <v>3</v>
      </c>
      <c r="F4">
        <v>4</v>
      </c>
    </row>
    <row r="5" spans="1:8">
      <c r="A5" t="s">
        <v>46</v>
      </c>
      <c r="C5">
        <f>B10</f>
        <v>100</v>
      </c>
      <c r="D5">
        <f t="shared" ref="D5:F5" si="0">C10</f>
        <v>75</v>
      </c>
      <c r="E5">
        <f t="shared" si="0"/>
        <v>50</v>
      </c>
      <c r="F5">
        <f t="shared" si="0"/>
        <v>25</v>
      </c>
    </row>
    <row r="6" spans="1:8" s="12" customFormat="1">
      <c r="A6" s="12" t="s">
        <v>47</v>
      </c>
      <c r="C6" s="12">
        <f>C5*10%</f>
        <v>10</v>
      </c>
      <c r="D6" s="12">
        <f t="shared" ref="D6:F6" si="1">D5*10%</f>
        <v>7.5</v>
      </c>
      <c r="E6" s="12">
        <f t="shared" si="1"/>
        <v>5</v>
      </c>
      <c r="F6" s="12">
        <f t="shared" si="1"/>
        <v>2.5</v>
      </c>
      <c r="H6" s="12">
        <f>SUM(C6:F6)</f>
        <v>25</v>
      </c>
    </row>
    <row r="7" spans="1:8" s="14" customFormat="1">
      <c r="A7" s="14" t="s">
        <v>48</v>
      </c>
      <c r="C7" s="14">
        <f>C8+C9</f>
        <v>35</v>
      </c>
      <c r="D7" s="14">
        <f t="shared" ref="D7:F7" si="2">D8+D9</f>
        <v>32.5</v>
      </c>
      <c r="E7" s="14">
        <f t="shared" si="2"/>
        <v>30</v>
      </c>
      <c r="F7" s="14">
        <f t="shared" si="2"/>
        <v>27.5</v>
      </c>
    </row>
    <row r="8" spans="1:8" s="12" customFormat="1">
      <c r="A8" s="12" t="s">
        <v>49</v>
      </c>
      <c r="C8" s="12">
        <f>C6</f>
        <v>10</v>
      </c>
      <c r="D8" s="12">
        <f t="shared" ref="D8:F8" si="3">D6</f>
        <v>7.5</v>
      </c>
      <c r="E8" s="12">
        <f t="shared" si="3"/>
        <v>5</v>
      </c>
      <c r="F8" s="12">
        <f t="shared" si="3"/>
        <v>2.5</v>
      </c>
    </row>
    <row r="9" spans="1:8" s="12" customFormat="1">
      <c r="A9" s="12" t="s">
        <v>50</v>
      </c>
      <c r="C9" s="12">
        <f>100/4</f>
        <v>25</v>
      </c>
      <c r="D9" s="12">
        <f t="shared" ref="D9:F9" si="4">100/4</f>
        <v>25</v>
      </c>
      <c r="E9" s="12">
        <f t="shared" si="4"/>
        <v>25</v>
      </c>
      <c r="F9" s="12">
        <f t="shared" si="4"/>
        <v>25</v>
      </c>
    </row>
    <row r="10" spans="1:8">
      <c r="A10" t="s">
        <v>51</v>
      </c>
      <c r="B10">
        <v>100</v>
      </c>
      <c r="C10">
        <f>C5-C9</f>
        <v>75</v>
      </c>
      <c r="D10">
        <f t="shared" ref="D10:F10" si="5">D5-D9</f>
        <v>50</v>
      </c>
      <c r="E10">
        <f t="shared" si="5"/>
        <v>25</v>
      </c>
      <c r="F10">
        <f t="shared" si="5"/>
        <v>0</v>
      </c>
    </row>
    <row r="12" spans="1:8">
      <c r="A12" t="s">
        <v>52</v>
      </c>
    </row>
    <row r="13" spans="1:8">
      <c r="A13" t="s">
        <v>53</v>
      </c>
    </row>
    <row r="14" spans="1:8">
      <c r="A14" t="s">
        <v>54</v>
      </c>
    </row>
    <row r="15" spans="1:8">
      <c r="A15" t="s">
        <v>45</v>
      </c>
      <c r="B15">
        <v>0</v>
      </c>
      <c r="C15">
        <v>1</v>
      </c>
      <c r="D15">
        <v>2</v>
      </c>
      <c r="E15">
        <v>3</v>
      </c>
      <c r="F15">
        <v>4</v>
      </c>
    </row>
    <row r="16" spans="1:8">
      <c r="A16" t="s">
        <v>46</v>
      </c>
      <c r="C16">
        <f>B21</f>
        <v>100</v>
      </c>
      <c r="D16" s="9">
        <f>C21</f>
        <v>78.452919629390223</v>
      </c>
      <c r="E16" s="9">
        <f t="shared" ref="E16:F16" si="6">D21</f>
        <v>54.751131221719461</v>
      </c>
      <c r="F16" s="9">
        <f t="shared" si="6"/>
        <v>28.679163973281629</v>
      </c>
    </row>
    <row r="17" spans="1:8">
      <c r="A17" s="12" t="s">
        <v>47</v>
      </c>
      <c r="B17" s="12"/>
      <c r="C17" s="12">
        <f>C16*10%</f>
        <v>10</v>
      </c>
      <c r="D17" s="13">
        <f>D16*10%</f>
        <v>7.8452919629390223</v>
      </c>
      <c r="E17" s="13">
        <f t="shared" ref="E17:F17" si="7">E16*10%</f>
        <v>5.4751131221719467</v>
      </c>
      <c r="F17" s="13">
        <f t="shared" si="7"/>
        <v>2.8679163973281629</v>
      </c>
      <c r="H17" s="13">
        <f>SUM(C17:F17)</f>
        <v>26.188321482439132</v>
      </c>
    </row>
    <row r="18" spans="1:8" s="14" customFormat="1">
      <c r="A18" s="14" t="s">
        <v>48</v>
      </c>
      <c r="C18" s="15">
        <f>-PMT(10%,4,100)</f>
        <v>31.54708037060978</v>
      </c>
      <c r="D18" s="15">
        <f t="shared" ref="D18:F18" si="8">-PMT(10%,4,100)</f>
        <v>31.54708037060978</v>
      </c>
      <c r="E18" s="15">
        <f t="shared" si="8"/>
        <v>31.54708037060978</v>
      </c>
      <c r="F18" s="15">
        <f t="shared" si="8"/>
        <v>31.54708037060978</v>
      </c>
    </row>
    <row r="19" spans="1:8">
      <c r="A19" s="12" t="s">
        <v>49</v>
      </c>
      <c r="B19" s="12"/>
      <c r="C19" s="12">
        <f>C17</f>
        <v>10</v>
      </c>
      <c r="D19" s="13">
        <f>D17</f>
        <v>7.8452919629390223</v>
      </c>
      <c r="E19" s="13">
        <f t="shared" ref="E19:F19" si="9">E17</f>
        <v>5.4751131221719467</v>
      </c>
      <c r="F19" s="13">
        <f t="shared" si="9"/>
        <v>2.8679163973281629</v>
      </c>
    </row>
    <row r="20" spans="1:8">
      <c r="A20" s="12" t="s">
        <v>50</v>
      </c>
      <c r="B20" s="12"/>
      <c r="C20" s="13">
        <f>C18-C19</f>
        <v>21.54708037060978</v>
      </c>
      <c r="D20" s="13">
        <f>D18-D19</f>
        <v>23.701788407670758</v>
      </c>
      <c r="E20" s="13">
        <f t="shared" ref="E20:F20" si="10">E18-E19</f>
        <v>26.071967248437833</v>
      </c>
      <c r="F20" s="13">
        <f t="shared" si="10"/>
        <v>28.679163973281618</v>
      </c>
    </row>
    <row r="21" spans="1:8">
      <c r="A21" t="s">
        <v>51</v>
      </c>
      <c r="B21">
        <v>100</v>
      </c>
      <c r="C21" s="9">
        <f>C16-C20</f>
        <v>78.452919629390223</v>
      </c>
      <c r="D21" s="9">
        <f>D16-D20</f>
        <v>54.751131221719461</v>
      </c>
      <c r="E21" s="9">
        <f t="shared" ref="E21:F21" si="11">E16-E20</f>
        <v>28.679163973281629</v>
      </c>
      <c r="F21" s="9">
        <f t="shared" si="11"/>
        <v>0</v>
      </c>
    </row>
    <row r="22" spans="1:8">
      <c r="A22" s="16" t="s">
        <v>55</v>
      </c>
    </row>
    <row r="23" spans="1:8">
      <c r="A23" t="s">
        <v>45</v>
      </c>
      <c r="B23">
        <v>0</v>
      </c>
      <c r="C23">
        <v>1</v>
      </c>
      <c r="D23">
        <v>2</v>
      </c>
      <c r="E23">
        <v>3</v>
      </c>
      <c r="F23">
        <v>4</v>
      </c>
    </row>
    <row r="24" spans="1:8">
      <c r="A24" t="s">
        <v>46</v>
      </c>
      <c r="C24">
        <f>B29</f>
        <v>100</v>
      </c>
      <c r="D24" s="9">
        <f>C29</f>
        <v>100</v>
      </c>
      <c r="E24" s="9">
        <f t="shared" ref="E24:F24" si="12">D29</f>
        <v>66.666666666666657</v>
      </c>
      <c r="F24" s="9">
        <f t="shared" si="12"/>
        <v>33.333333333333321</v>
      </c>
    </row>
    <row r="25" spans="1:8">
      <c r="A25" s="12" t="s">
        <v>47</v>
      </c>
      <c r="B25" s="12"/>
      <c r="C25" s="12">
        <f>C24*10%</f>
        <v>10</v>
      </c>
      <c r="D25" s="12">
        <f>D24*10%</f>
        <v>10</v>
      </c>
      <c r="E25" s="12">
        <f t="shared" ref="E25:F25" si="13">E24*10%</f>
        <v>6.6666666666666661</v>
      </c>
      <c r="F25" s="12">
        <f t="shared" si="13"/>
        <v>3.3333333333333321</v>
      </c>
    </row>
    <row r="26" spans="1:8">
      <c r="A26" s="14" t="s">
        <v>48</v>
      </c>
      <c r="B26" s="14"/>
      <c r="C26" s="15">
        <f>C27+C28</f>
        <v>10</v>
      </c>
      <c r="D26" s="15">
        <f>D27+D28</f>
        <v>43.333333333333336</v>
      </c>
      <c r="E26" s="15">
        <f t="shared" ref="E26:F26" si="14">E27+E28</f>
        <v>40</v>
      </c>
      <c r="F26" s="15">
        <f t="shared" si="14"/>
        <v>36.666666666666671</v>
      </c>
    </row>
    <row r="27" spans="1:8">
      <c r="A27" s="12" t="s">
        <v>49</v>
      </c>
      <c r="B27" s="12"/>
      <c r="C27" s="12">
        <f>C25</f>
        <v>10</v>
      </c>
      <c r="D27" s="13">
        <f>D25</f>
        <v>10</v>
      </c>
      <c r="E27" s="13">
        <f t="shared" ref="E27:F27" si="15">E25</f>
        <v>6.6666666666666661</v>
      </c>
      <c r="F27" s="13">
        <f t="shared" si="15"/>
        <v>3.3333333333333321</v>
      </c>
    </row>
    <row r="28" spans="1:8">
      <c r="A28" s="12" t="s">
        <v>50</v>
      </c>
      <c r="B28" s="12"/>
      <c r="C28" s="13"/>
      <c r="D28" s="13">
        <f>100/3</f>
        <v>33.333333333333336</v>
      </c>
      <c r="E28" s="13">
        <f t="shared" ref="E28:F28" si="16">100/3</f>
        <v>33.333333333333336</v>
      </c>
      <c r="F28" s="13">
        <f t="shared" si="16"/>
        <v>33.333333333333336</v>
      </c>
    </row>
    <row r="29" spans="1:8">
      <c r="A29" t="s">
        <v>51</v>
      </c>
      <c r="B29">
        <v>100</v>
      </c>
      <c r="C29" s="9">
        <f>C24-C28</f>
        <v>100</v>
      </c>
      <c r="D29" s="9">
        <f>D24-D28</f>
        <v>66.666666666666657</v>
      </c>
      <c r="E29" s="9">
        <f t="shared" ref="E29:F29" si="17">E24-E28</f>
        <v>33.333333333333321</v>
      </c>
      <c r="F29" s="9">
        <f t="shared" si="17"/>
        <v>0</v>
      </c>
    </row>
    <row r="30" spans="1:8">
      <c r="A30" s="1" t="s">
        <v>56</v>
      </c>
    </row>
    <row r="31" spans="1:8">
      <c r="A31" t="s">
        <v>45</v>
      </c>
      <c r="B31">
        <v>0</v>
      </c>
      <c r="C31">
        <v>1</v>
      </c>
      <c r="D31">
        <v>2</v>
      </c>
      <c r="E31">
        <v>3</v>
      </c>
      <c r="F31">
        <v>4</v>
      </c>
    </row>
    <row r="32" spans="1:8">
      <c r="A32" t="s">
        <v>46</v>
      </c>
      <c r="C32">
        <f>B37</f>
        <v>100</v>
      </c>
      <c r="D32" s="9">
        <f>C37</f>
        <v>110</v>
      </c>
      <c r="E32" s="9">
        <f t="shared" ref="E32:F32" si="18">D37</f>
        <v>73.333333333333343</v>
      </c>
      <c r="F32" s="9">
        <f t="shared" si="18"/>
        <v>36.666666666666679</v>
      </c>
    </row>
    <row r="33" spans="1:6">
      <c r="A33" s="12" t="s">
        <v>47</v>
      </c>
      <c r="B33" s="12"/>
      <c r="C33" s="12">
        <f>C32*10%</f>
        <v>10</v>
      </c>
      <c r="D33" s="13">
        <f>D32*10%</f>
        <v>11</v>
      </c>
      <c r="E33" s="13">
        <f t="shared" ref="E33:F33" si="19">E32*10%</f>
        <v>7.3333333333333348</v>
      </c>
      <c r="F33" s="13">
        <f t="shared" si="19"/>
        <v>3.6666666666666679</v>
      </c>
    </row>
    <row r="34" spans="1:6">
      <c r="A34" s="14" t="s">
        <v>48</v>
      </c>
      <c r="B34" s="14"/>
      <c r="C34" s="15"/>
      <c r="D34" s="15">
        <f>D35+D36</f>
        <v>47.666666666666664</v>
      </c>
      <c r="E34" s="15">
        <f t="shared" ref="E34:F34" si="20">E35+E36</f>
        <v>44</v>
      </c>
      <c r="F34" s="15">
        <f t="shared" si="20"/>
        <v>40.333333333333329</v>
      </c>
    </row>
    <row r="35" spans="1:6">
      <c r="A35" s="12" t="s">
        <v>49</v>
      </c>
      <c r="B35" s="12"/>
      <c r="C35" s="12"/>
      <c r="D35" s="13">
        <f>D33</f>
        <v>11</v>
      </c>
      <c r="E35" s="13">
        <f t="shared" ref="E35:F35" si="21">E33</f>
        <v>7.3333333333333348</v>
      </c>
      <c r="F35" s="13">
        <f t="shared" si="21"/>
        <v>3.6666666666666679</v>
      </c>
    </row>
    <row r="36" spans="1:6">
      <c r="A36" s="12" t="s">
        <v>50</v>
      </c>
      <c r="B36" s="12"/>
      <c r="C36" s="13"/>
      <c r="D36" s="13">
        <f>110/3</f>
        <v>36.666666666666664</v>
      </c>
      <c r="E36" s="13">
        <f t="shared" ref="E36:F36" si="22">110/3</f>
        <v>36.666666666666664</v>
      </c>
      <c r="F36" s="13">
        <f t="shared" si="22"/>
        <v>36.666666666666664</v>
      </c>
    </row>
    <row r="37" spans="1:6">
      <c r="A37" t="s">
        <v>51</v>
      </c>
      <c r="B37">
        <v>100</v>
      </c>
      <c r="C37" s="9">
        <f>C32+C33</f>
        <v>110</v>
      </c>
      <c r="D37" s="9">
        <f>D32-D36</f>
        <v>73.333333333333343</v>
      </c>
      <c r="E37" s="9">
        <f t="shared" ref="E37:F37" si="23">E32-E36</f>
        <v>36.666666666666679</v>
      </c>
      <c r="F37" s="9">
        <f t="shared" si="23"/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41"/>
  <sheetViews>
    <sheetView topLeftCell="A15" zoomScale="200" zoomScaleNormal="200" zoomScalePageLayoutView="200" workbookViewId="0">
      <selection activeCell="A37" sqref="A37:B37"/>
    </sheetView>
  </sheetViews>
  <sheetFormatPr baseColWidth="10" defaultRowHeight="15" x14ac:dyDescent="0"/>
  <cols>
    <col min="1" max="1" width="30.5" customWidth="1"/>
    <col min="2" max="2" width="9.6640625" customWidth="1"/>
    <col min="3" max="3" width="9.5" customWidth="1"/>
    <col min="4" max="4" width="8.6640625" customWidth="1"/>
    <col min="5" max="5" width="8.5" customWidth="1"/>
    <col min="6" max="6" width="7.6640625" customWidth="1"/>
  </cols>
  <sheetData>
    <row r="7" spans="1:5">
      <c r="A7" s="1" t="s">
        <v>57</v>
      </c>
    </row>
    <row r="8" spans="1:5">
      <c r="A8" t="s">
        <v>45</v>
      </c>
      <c r="B8">
        <v>0</v>
      </c>
      <c r="C8">
        <v>1</v>
      </c>
      <c r="D8">
        <v>2</v>
      </c>
      <c r="E8">
        <v>3</v>
      </c>
    </row>
    <row r="9" spans="1:5">
      <c r="A9" t="s">
        <v>58</v>
      </c>
      <c r="C9">
        <v>10</v>
      </c>
      <c r="D9">
        <v>15</v>
      </c>
      <c r="E9">
        <v>20</v>
      </c>
    </row>
    <row r="10" spans="1:5">
      <c r="A10" t="s">
        <v>59</v>
      </c>
      <c r="B10">
        <v>10</v>
      </c>
      <c r="C10">
        <v>7</v>
      </c>
      <c r="D10">
        <v>11</v>
      </c>
      <c r="E10">
        <v>16</v>
      </c>
    </row>
    <row r="11" spans="1:5">
      <c r="A11" s="1" t="s">
        <v>60</v>
      </c>
      <c r="B11" s="18">
        <f>B9-B10</f>
        <v>-10</v>
      </c>
      <c r="C11" s="1">
        <f t="shared" ref="C11:E11" si="0">C9-C10</f>
        <v>3</v>
      </c>
      <c r="D11" s="1">
        <f t="shared" si="0"/>
        <v>4</v>
      </c>
      <c r="E11" s="1">
        <f t="shared" si="0"/>
        <v>4</v>
      </c>
    </row>
    <row r="12" spans="1:5">
      <c r="C12">
        <f>3/(1+10%)</f>
        <v>2.7272727272727271</v>
      </c>
      <c r="D12">
        <f>4/(1+10%)^2</f>
        <v>3.3057851239669418</v>
      </c>
      <c r="E12">
        <f>4/(1+10%)^3</f>
        <v>3.0052592036063102</v>
      </c>
    </row>
    <row r="14" spans="1:5">
      <c r="A14" t="s">
        <v>61</v>
      </c>
      <c r="B14">
        <v>10</v>
      </c>
      <c r="C14">
        <v>10</v>
      </c>
    </row>
    <row r="15" spans="1:5">
      <c r="A15" t="s">
        <v>62</v>
      </c>
      <c r="B15">
        <f>SUM(C11:E11)</f>
        <v>11</v>
      </c>
      <c r="C15" s="4">
        <f>SUM(C12:E12)</f>
        <v>9.0383170548459795</v>
      </c>
    </row>
    <row r="16" spans="1:5">
      <c r="A16" t="s">
        <v>63</v>
      </c>
      <c r="B16">
        <f>B15-B14</f>
        <v>1</v>
      </c>
      <c r="C16" s="19">
        <f>C15-C14</f>
        <v>-0.96168294515402053</v>
      </c>
      <c r="D16" t="s">
        <v>65</v>
      </c>
    </row>
    <row r="17" spans="1:6">
      <c r="A17" s="14" t="s">
        <v>64</v>
      </c>
      <c r="B17" s="17">
        <v>0.1</v>
      </c>
    </row>
    <row r="18" spans="1:6">
      <c r="A18" t="s">
        <v>73</v>
      </c>
    </row>
    <row r="19" spans="1:6">
      <c r="A19" t="s">
        <v>66</v>
      </c>
    </row>
    <row r="20" spans="1:6">
      <c r="A20" s="6" t="s">
        <v>67</v>
      </c>
      <c r="C20" t="s">
        <v>69</v>
      </c>
    </row>
    <row r="21" spans="1:6">
      <c r="A21" t="s">
        <v>68</v>
      </c>
      <c r="B21" s="4">
        <f>NPV(B17,C11:E11)+B11</f>
        <v>-0.96168294515402053</v>
      </c>
      <c r="C21" t="s">
        <v>70</v>
      </c>
    </row>
    <row r="22" spans="1:6">
      <c r="A22" t="s">
        <v>71</v>
      </c>
      <c r="B22" s="2">
        <f>IRR(B11:E11)</f>
        <v>4.6969861629281962E-2</v>
      </c>
      <c r="C22" t="s">
        <v>74</v>
      </c>
      <c r="E22">
        <v>0</v>
      </c>
      <c r="F22">
        <v>1</v>
      </c>
    </row>
    <row r="23" spans="1:6">
      <c r="C23" t="s">
        <v>75</v>
      </c>
      <c r="E23">
        <v>-100</v>
      </c>
      <c r="F23">
        <v>120</v>
      </c>
    </row>
    <row r="24" spans="1:6">
      <c r="C24" t="s">
        <v>72</v>
      </c>
      <c r="E24" s="10">
        <f>-(E23+F23)/E23</f>
        <v>0.2</v>
      </c>
    </row>
    <row r="25" spans="1:6">
      <c r="A25" s="1" t="s">
        <v>76</v>
      </c>
      <c r="E25" s="2">
        <f>IRR(E23:F23)</f>
        <v>0.20000000000000018</v>
      </c>
    </row>
    <row r="26" spans="1:6">
      <c r="A26" t="s">
        <v>45</v>
      </c>
      <c r="B26">
        <v>0</v>
      </c>
      <c r="C26">
        <v>1</v>
      </c>
      <c r="D26">
        <v>2</v>
      </c>
      <c r="E26">
        <v>3</v>
      </c>
      <c r="F26">
        <v>4</v>
      </c>
    </row>
    <row r="27" spans="1:6" s="1" customFormat="1">
      <c r="A27" s="1" t="s">
        <v>60</v>
      </c>
      <c r="B27" s="1">
        <v>-100</v>
      </c>
      <c r="C27" s="1">
        <v>30</v>
      </c>
      <c r="D27" s="1">
        <v>40</v>
      </c>
      <c r="E27" s="1">
        <v>50</v>
      </c>
      <c r="F27" s="1">
        <v>50</v>
      </c>
    </row>
    <row r="28" spans="1:6" s="12" customFormat="1">
      <c r="A28" s="12" t="s">
        <v>77</v>
      </c>
      <c r="B28" s="12">
        <f>B27</f>
        <v>-100</v>
      </c>
      <c r="C28" s="12">
        <f>B28+C27</f>
        <v>-70</v>
      </c>
      <c r="D28" s="12">
        <f>C28+D27</f>
        <v>-30</v>
      </c>
      <c r="E28" s="12">
        <f>D28+E27</f>
        <v>20</v>
      </c>
      <c r="F28" s="12">
        <f>E28+F27</f>
        <v>70</v>
      </c>
    </row>
    <row r="29" spans="1:6" s="1" customFormat="1">
      <c r="A29" s="1" t="s">
        <v>82</v>
      </c>
      <c r="B29" s="20">
        <f>B27/(1+10%)^B26</f>
        <v>-100</v>
      </c>
      <c r="C29" s="20">
        <f>C27/(1+10%)^C26</f>
        <v>27.27272727272727</v>
      </c>
      <c r="D29" s="20">
        <f>D27/(1+10%)^D26</f>
        <v>33.057851239669418</v>
      </c>
      <c r="E29" s="20">
        <f t="shared" ref="E29:F29" si="1">E27/(1+10%)^E26</f>
        <v>37.565740045078876</v>
      </c>
      <c r="F29" s="20">
        <f t="shared" si="1"/>
        <v>34.150672768253528</v>
      </c>
    </row>
    <row r="30" spans="1:6" s="12" customFormat="1">
      <c r="A30" s="12" t="s">
        <v>77</v>
      </c>
      <c r="B30" s="13">
        <f>B29</f>
        <v>-100</v>
      </c>
      <c r="C30" s="13">
        <f>B30+C29</f>
        <v>-72.727272727272734</v>
      </c>
      <c r="D30" s="13">
        <f>C30+D29</f>
        <v>-39.669421487603316</v>
      </c>
      <c r="E30" s="13">
        <f>D30+E29</f>
        <v>-2.1036814425244401</v>
      </c>
      <c r="F30" s="13">
        <f>E30+F29</f>
        <v>32.046991325729088</v>
      </c>
    </row>
    <row r="31" spans="1:6" s="12" customFormat="1">
      <c r="A31" s="12" t="s">
        <v>85</v>
      </c>
    </row>
    <row r="32" spans="1:6" s="12" customFormat="1">
      <c r="A32" t="s">
        <v>78</v>
      </c>
      <c r="C32" s="12">
        <f>IF(C30&lt;0,1,0)</f>
        <v>1</v>
      </c>
      <c r="D32" s="12">
        <f t="shared" ref="D32:F32" si="2">IF(D30&lt;0,1,0)</f>
        <v>1</v>
      </c>
      <c r="E32" s="12">
        <f t="shared" si="2"/>
        <v>1</v>
      </c>
      <c r="F32" s="12">
        <f t="shared" si="2"/>
        <v>0</v>
      </c>
    </row>
    <row r="33" spans="1:6" s="12" customFormat="1">
      <c r="A33" t="s">
        <v>79</v>
      </c>
      <c r="C33" s="12">
        <f>IF(C30*D30&lt;0,C30*12/D29,0)</f>
        <v>0</v>
      </c>
      <c r="D33" s="12">
        <f t="shared" ref="D33:F33" si="3">IF(D30*E30&lt;0,D30*12/E29,0)</f>
        <v>0</v>
      </c>
      <c r="E33" s="12">
        <f t="shared" si="3"/>
        <v>-0.73920000000000796</v>
      </c>
      <c r="F33" s="12">
        <f t="shared" si="3"/>
        <v>0</v>
      </c>
    </row>
    <row r="34" spans="1:6">
      <c r="A34" t="s">
        <v>84</v>
      </c>
    </row>
    <row r="35" spans="1:6">
      <c r="A35" t="s">
        <v>78</v>
      </c>
      <c r="C35">
        <f>IF(C28&lt;0,1,0)</f>
        <v>1</v>
      </c>
      <c r="D35">
        <f t="shared" ref="D35:F35" si="4">IF(D28&lt;0,1,0)</f>
        <v>1</v>
      </c>
      <c r="E35">
        <f t="shared" si="4"/>
        <v>0</v>
      </c>
      <c r="F35">
        <f t="shared" si="4"/>
        <v>0</v>
      </c>
    </row>
    <row r="36" spans="1:6">
      <c r="A36" t="s">
        <v>79</v>
      </c>
      <c r="C36">
        <f>IF(C28*D28&lt;0,C28*12/D27,0)</f>
        <v>0</v>
      </c>
      <c r="D36">
        <f t="shared" ref="D36:F36" si="5">IF(D28*E28&lt;0,D28*12/E27,0)</f>
        <v>-7.2</v>
      </c>
      <c r="E36">
        <f t="shared" si="5"/>
        <v>0</v>
      </c>
      <c r="F36">
        <f t="shared" si="5"/>
        <v>0</v>
      </c>
    </row>
    <row r="37" spans="1:6">
      <c r="A37" t="s">
        <v>81</v>
      </c>
      <c r="B37" s="2">
        <v>0.1</v>
      </c>
    </row>
    <row r="38" spans="1:6">
      <c r="A38" s="8" t="s">
        <v>80</v>
      </c>
      <c r="B38" s="21">
        <f>SUM(C35:F35)</f>
        <v>2</v>
      </c>
      <c r="C38" s="22">
        <f>SUM(C36:F36)</f>
        <v>-7.2</v>
      </c>
    </row>
    <row r="39" spans="1:6">
      <c r="A39" s="8" t="s">
        <v>83</v>
      </c>
      <c r="B39" s="21">
        <f>SUM(C32:F32)</f>
        <v>3</v>
      </c>
      <c r="C39" s="22">
        <f>SUM(C33:F33)</f>
        <v>-0.73920000000000796</v>
      </c>
    </row>
    <row r="40" spans="1:6">
      <c r="A40" s="8" t="s">
        <v>68</v>
      </c>
      <c r="B40" s="23">
        <f>NPV(B37,C27:F27)+B27</f>
        <v>32.046991325729095</v>
      </c>
      <c r="C40" s="8"/>
    </row>
    <row r="41" spans="1:6">
      <c r="A41" s="8" t="s">
        <v>71</v>
      </c>
      <c r="B41" s="24">
        <f>IRR(B27:F27)</f>
        <v>0.22771945369784041</v>
      </c>
      <c r="C41" s="8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="200" zoomScaleNormal="200" zoomScalePageLayoutView="200" workbookViewId="0">
      <selection activeCell="D17" sqref="D17"/>
    </sheetView>
  </sheetViews>
  <sheetFormatPr baseColWidth="10" defaultRowHeight="15" x14ac:dyDescent="0"/>
  <cols>
    <col min="1" max="1" width="16.83203125" customWidth="1"/>
    <col min="2" max="2" width="14.1640625" customWidth="1"/>
  </cols>
  <sheetData>
    <row r="1" spans="1:5">
      <c r="A1" s="1" t="s">
        <v>86</v>
      </c>
    </row>
    <row r="2" spans="1:5">
      <c r="A2" t="s">
        <v>45</v>
      </c>
      <c r="B2">
        <v>0</v>
      </c>
      <c r="C2">
        <v>1</v>
      </c>
      <c r="D2">
        <v>2</v>
      </c>
      <c r="E2">
        <v>3</v>
      </c>
    </row>
    <row r="3" spans="1:5">
      <c r="A3" t="s">
        <v>88</v>
      </c>
      <c r="B3" s="8">
        <v>-100</v>
      </c>
      <c r="C3">
        <v>30</v>
      </c>
      <c r="D3">
        <v>50</v>
      </c>
      <c r="E3">
        <v>60</v>
      </c>
    </row>
    <row r="4" spans="1:5">
      <c r="A4" t="s">
        <v>87</v>
      </c>
      <c r="B4">
        <v>60</v>
      </c>
      <c r="C4" s="4">
        <f>PMT(10%,3,$B$4)</f>
        <v>-24.126888217522666</v>
      </c>
      <c r="D4" s="4">
        <f t="shared" ref="D4:E4" si="0">PMT(10%,3,$B$4)</f>
        <v>-24.126888217522666</v>
      </c>
      <c r="E4" s="4">
        <f t="shared" si="0"/>
        <v>-24.126888217522666</v>
      </c>
    </row>
    <row r="5" spans="1:5">
      <c r="A5" t="s">
        <v>89</v>
      </c>
      <c r="B5" s="8">
        <f>B3+B4</f>
        <v>-40</v>
      </c>
      <c r="C5" s="9">
        <f>C3+C4</f>
        <v>5.8731117824773342</v>
      </c>
      <c r="D5" s="9">
        <f t="shared" ref="D5:E5" si="1">D3+D4</f>
        <v>25.873111782477334</v>
      </c>
      <c r="E5" s="9">
        <f t="shared" si="1"/>
        <v>35.873111782477338</v>
      </c>
    </row>
    <row r="6" spans="1:5">
      <c r="A6" t="s">
        <v>90</v>
      </c>
    </row>
    <row r="7" spans="1:5">
      <c r="A7" t="s">
        <v>92</v>
      </c>
      <c r="B7" s="25">
        <f>40/100</f>
        <v>0.4</v>
      </c>
    </row>
    <row r="8" spans="1:5">
      <c r="A8" t="s">
        <v>91</v>
      </c>
      <c r="B8" s="2">
        <v>0.16</v>
      </c>
    </row>
    <row r="9" spans="1:5">
      <c r="A9" t="s">
        <v>93</v>
      </c>
      <c r="B9" s="10">
        <f>60/100</f>
        <v>0.6</v>
      </c>
    </row>
    <row r="10" spans="1:5">
      <c r="A10" t="s">
        <v>94</v>
      </c>
      <c r="B10" s="2">
        <v>0.1</v>
      </c>
    </row>
    <row r="11" spans="1:5">
      <c r="A11" t="s">
        <v>95</v>
      </c>
      <c r="D11" s="26">
        <f>B8*B7+B9*B10</f>
        <v>0.124</v>
      </c>
    </row>
    <row r="12" spans="1:5">
      <c r="A12" t="s">
        <v>96</v>
      </c>
      <c r="D12" s="2">
        <f>B8</f>
        <v>0.16</v>
      </c>
    </row>
    <row r="13" spans="1:5">
      <c r="A13" t="s">
        <v>97</v>
      </c>
      <c r="B13" s="4">
        <f>NPV(D11,C3:E3)+B3</f>
        <v>8.5193821302204782</v>
      </c>
      <c r="C13" t="s">
        <v>99</v>
      </c>
    </row>
    <row r="14" spans="1:5">
      <c r="A14" t="s">
        <v>98</v>
      </c>
      <c r="B14" s="2">
        <f>IRR(B3:E3)</f>
        <v>0.16794936144622952</v>
      </c>
      <c r="C14" t="s">
        <v>100</v>
      </c>
      <c r="D14" s="26">
        <f>D11</f>
        <v>0.124</v>
      </c>
    </row>
    <row r="15" spans="1:5">
      <c r="A15" t="s">
        <v>101</v>
      </c>
      <c r="B15" s="3">
        <f>NPV(D12,C5:E5)+B5</f>
        <v>7.273348554069301</v>
      </c>
    </row>
    <row r="16" spans="1:5">
      <c r="A16" t="s">
        <v>102</v>
      </c>
      <c r="B16" s="2">
        <f>IRR(B5:E5)</f>
        <v>0.24498186323702797</v>
      </c>
      <c r="C16" t="s">
        <v>103</v>
      </c>
      <c r="D16" s="2">
        <f>D12</f>
        <v>0.16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Phan tich</vt:lpstr>
      <vt:lpstr>Scenario Summary</vt:lpstr>
      <vt:lpstr>Toan tai chính</vt:lpstr>
      <vt:lpstr>Lich tra no</vt:lpstr>
      <vt:lpstr>Hieu qua</vt:lpstr>
      <vt:lpstr>Quan diem</vt:lpstr>
    </vt:vector>
  </TitlesOfParts>
  <Company>Agtex28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Huynh Thanh Dien</dc:creator>
  <cp:lastModifiedBy>Huynh Thanh Dien</cp:lastModifiedBy>
  <dcterms:created xsi:type="dcterms:W3CDTF">2019-11-12T11:26:00Z</dcterms:created>
  <dcterms:modified xsi:type="dcterms:W3CDTF">2019-11-25T15:36:24Z</dcterms:modified>
</cp:coreProperties>
</file>